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1291" tabRatio="574" activeTab="0"/>
  </bookViews>
  <sheets>
    <sheet name="Alignment" sheetId="1" r:id="rId1"/>
    <sheet name="Imbalance" sheetId="2" r:id="rId2"/>
  </sheets>
  <definedNames/>
  <calcPr fullCalcOnLoad="1"/>
</workbook>
</file>

<file path=xl/sharedStrings.xml><?xml version="1.0" encoding="utf-8"?>
<sst xmlns="http://schemas.openxmlformats.org/spreadsheetml/2006/main" count="296" uniqueCount="165">
  <si>
    <t>Comparison between Two Aligning Methods: Shift on shell/Shift on arm bedplate</t>
  </si>
  <si>
    <t>How to use: put three parameters in yellow cells.</t>
  </si>
  <si>
    <t>Overhang adjustment on slotted shell</t>
  </si>
  <si>
    <t>Shift on arm bedplate</t>
  </si>
  <si>
    <t>Arm distance is fixed as designed.</t>
  </si>
  <si>
    <t>Arm distance is adjusted</t>
  </si>
  <si>
    <t xml:space="preserve">Changing effective length and offset angle a bit </t>
  </si>
  <si>
    <t>Effective length and offset angle remain unchanged</t>
  </si>
  <si>
    <t>Linear offset length is unchanged irrespective of alignment method as far as slotted lines of holes are made tangential to linear offset line</t>
  </si>
  <si>
    <t>Arm Distance</t>
  </si>
  <si>
    <t>D</t>
  </si>
  <si>
    <t>mm</t>
  </si>
  <si>
    <r>
      <t>f</t>
    </r>
    <r>
      <rPr>
        <sz val="11"/>
        <rFont val="Times New Roman"/>
        <family val="1"/>
      </rPr>
      <t>ixed</t>
    </r>
  </si>
  <si>
    <t>adjusted</t>
  </si>
  <si>
    <t>Overhang</t>
  </si>
  <si>
    <t>O</t>
  </si>
  <si>
    <t>Effective Length</t>
  </si>
  <si>
    <t>L</t>
  </si>
  <si>
    <t>fixed</t>
  </si>
  <si>
    <t>Offset Angle</t>
  </si>
  <si>
    <t>Φ</t>
  </si>
  <si>
    <t>degrees</t>
  </si>
  <si>
    <t>Null points</t>
  </si>
  <si>
    <r>
      <t>m</t>
    </r>
    <r>
      <rPr>
        <sz val="11"/>
        <rFont val="Times New Roman"/>
        <family val="1"/>
      </rPr>
      <t>m</t>
    </r>
  </si>
  <si>
    <t>Linear Offset</t>
  </si>
  <si>
    <t>=</t>
  </si>
  <si>
    <t>Shift on shell</t>
  </si>
  <si>
    <t>Φ'</t>
  </si>
  <si>
    <t>Null Points</t>
  </si>
  <si>
    <t>Arm distance</t>
  </si>
  <si>
    <t>Notes on alignments:</t>
  </si>
  <si>
    <t>As shown in above graphs, the effect of two methods is mirror image.</t>
  </si>
  <si>
    <t>After arm is mounted as designed distance from pivot to spindle, the alignment may be required due to the various distances between stylus point and cartridge mounting holes-varying from 7 to 13mm</t>
  </si>
  <si>
    <t>IEC recommended this distance to be 9.5mm+/-1mm while JIS recommended 10mm+/-3mm</t>
  </si>
  <si>
    <t>The linear offset length is not affected by overhang adjustment (height adjustment of some arms affects linear offset a bit)</t>
  </si>
  <si>
    <t>Fixed holes shell &amp; shift on bedplate</t>
  </si>
  <si>
    <t>Cartridge Variations</t>
  </si>
  <si>
    <t>Sample SME3009R</t>
  </si>
  <si>
    <t>As per design</t>
  </si>
  <si>
    <t>DL-103</t>
  </si>
  <si>
    <t>FR-6SE</t>
  </si>
  <si>
    <t>Stylus tip location</t>
  </si>
  <si>
    <t>from the centre between two holes</t>
  </si>
  <si>
    <t>design value+actual stylus location-9.5</t>
  </si>
  <si>
    <t>Linear offset</t>
  </si>
  <si>
    <t>If stylus point distance from mounting holes is deviating from designed distance</t>
  </si>
  <si>
    <r>
      <t xml:space="preserve">then </t>
    </r>
    <r>
      <rPr>
        <sz val="11"/>
        <color indexed="53"/>
        <rFont val="Times New Roman"/>
        <family val="1"/>
      </rPr>
      <t>similar value</t>
    </r>
    <r>
      <rPr>
        <sz val="11"/>
        <rFont val="Times New Roman"/>
        <family val="1"/>
      </rPr>
      <t xml:space="preserve"> of deviation shall be applied on the shifting on bedplate </t>
    </r>
    <r>
      <rPr>
        <sz val="11"/>
        <color indexed="10"/>
        <rFont val="Times New Roman"/>
        <family val="1"/>
      </rPr>
      <t>practically for compensation</t>
    </r>
    <r>
      <rPr>
        <sz val="11"/>
        <rFont val="Times New Roman"/>
        <family val="1"/>
      </rPr>
      <t>.</t>
    </r>
  </si>
  <si>
    <r>
      <t xml:space="preserve">Overhang and arm distance as well for specific arm shall indicate </t>
    </r>
    <r>
      <rPr>
        <b/>
        <i/>
        <sz val="11"/>
        <rFont val="Times New Roman"/>
        <family val="1"/>
      </rPr>
      <t>potentially</t>
    </r>
    <r>
      <rPr>
        <b/>
        <sz val="11"/>
        <rFont val="Times New Roman"/>
        <family val="1"/>
      </rPr>
      <t xml:space="preserve"> correct alignment for its arm geometry (stylus location).</t>
    </r>
  </si>
  <si>
    <t>Hence angle adjustment might be required in case of slotted holes for mounting cartridge while such adjustment is impossible on fixed two round holes shell.</t>
  </si>
  <si>
    <t>Note that skewed mounting of cartridge on shell is changing original geometry design of arm, i.e. LINEAR OFFSET LENGTH specific to the arm.</t>
  </si>
  <si>
    <t>Consideration on Skew-ability for angle adjustment in case of two round holes shell:</t>
  </si>
  <si>
    <t>Diameter of Shell hole</t>
  </si>
  <si>
    <t>mm min</t>
  </si>
  <si>
    <t>average of diameter is around 2.8 or near to 3mm!</t>
  </si>
  <si>
    <t>Mounting holes on Cartridge</t>
  </si>
  <si>
    <t>often more than 3mm! Rarely it has thread for screw(Ikeda and Dynavector etc)</t>
  </si>
  <si>
    <t>Diameter of Mounting screw</t>
  </si>
  <si>
    <t>Current IEC(1987) recommends screw M2.5 preferable or M2.6 where M2.5 is not available</t>
  </si>
  <si>
    <t>Skew-able angle (Max)</t>
  </si>
  <si>
    <t>In the past Shure etc had supplied inch screw 3/32inch nearly 2.4mm diameter</t>
  </si>
  <si>
    <t>Three square TRIANGLES: Pale Blue, its Reversal one and  Rotated one of reversal one based on p-o line</t>
  </si>
  <si>
    <t>Explanation on the tracking adjustment for fixed geometry where length and linear offset remain unchanged.</t>
  </si>
  <si>
    <t>Such adjustment is effected by shifting on bedplate.</t>
  </si>
  <si>
    <t>In this case to change mounting distance is to change overhang. vice versa.</t>
  </si>
  <si>
    <t>The above picture is showing how null point location is changed by alignment adjustment. Watch an isosceles triangle and its half square triangle(coloured).</t>
  </si>
  <si>
    <t>Mounting distance adjustment is to slide the coloured triangle right or left.</t>
  </si>
  <si>
    <t>1. When triangle slides right little horizontally in the picture increasing mounting distance and decreasing overhang: the distance between two null points shall be long</t>
  </si>
  <si>
    <t>2. When triangle slides left little in the picture decreasing mounting distance and increasing overhang: the distance between two null points shall be short</t>
  </si>
  <si>
    <t>3. When square triangle slides left (left end of linear offset length) to touch the centre spindle (o-p line vertical), then there is theoretically only one null point=Linear Offset Length.</t>
  </si>
  <si>
    <t>True one point is impossible in practice (only possible in calculation)</t>
  </si>
  <si>
    <t>If linear offset length is set to</t>
  </si>
  <si>
    <t>Then null points looks like following combinations:</t>
  </si>
  <si>
    <t>Inner(mm)</t>
  </si>
  <si>
    <t>Outer(mm)</t>
  </si>
  <si>
    <t>at this point maximum overhang / minimum distance(=effective L*COS(offset angle)) as far as there is null point</t>
  </si>
  <si>
    <t>Alignment Range nearly optimum</t>
  </si>
  <si>
    <t>Range in coloured area may indicate overhang deviation within +/-1mm from standard overhang for arm.</t>
  </si>
  <si>
    <t>Bold letters may indicate deviation within +/-0.5mm from standard overhang for arm.</t>
  </si>
  <si>
    <t>ARM GEOMETRY can be designed from a pair of null points or Linear Offset Length</t>
  </si>
  <si>
    <t>Input null points in yellow cells and refer to length or distance to find corresponding results in table</t>
  </si>
  <si>
    <t>Inner null point</t>
  </si>
  <si>
    <t>Note on Linear offsets for LP(30cm)</t>
  </si>
  <si>
    <t>Outer null point</t>
  </si>
  <si>
    <t>Socalled Stevenson type</t>
  </si>
  <si>
    <t>Linear Offset Length</t>
  </si>
  <si>
    <t>Socalled Baerwald/Loefgren type</t>
  </si>
  <si>
    <r>
      <t xml:space="preserve">or input any figures for the following yellow cells to have specific data calculated from </t>
    </r>
    <r>
      <rPr>
        <b/>
        <sz val="11"/>
        <color indexed="10"/>
        <rFont val="Times New Roman"/>
        <family val="1"/>
      </rPr>
      <t>above linear offset length</t>
    </r>
  </si>
  <si>
    <t>Distance</t>
  </si>
  <si>
    <t>Length</t>
  </si>
  <si>
    <t>Calculation of side force on groove wall</t>
  </si>
  <si>
    <t xml:space="preserve">Arm Distance </t>
  </si>
  <si>
    <t>degree</t>
  </si>
  <si>
    <t>Devided Force on groove wall when there is no side force.</t>
  </si>
  <si>
    <t>VTF</t>
  </si>
  <si>
    <t>W</t>
  </si>
  <si>
    <t>g</t>
  </si>
  <si>
    <t>W/1.4142</t>
  </si>
  <si>
    <t>g on each 45degrees groove wall</t>
  </si>
  <si>
    <t>Coefficient of stylus drag</t>
  </si>
  <si>
    <t>cs</t>
  </si>
  <si>
    <t>equiv. to</t>
  </si>
  <si>
    <t>Coefficient of friction µ</t>
  </si>
  <si>
    <t>Friction</t>
  </si>
  <si>
    <t>cs*W</t>
  </si>
  <si>
    <t>(=Two walls pressure*µ=)</t>
  </si>
  <si>
    <t>though I feel this calculation is quite tricky.</t>
  </si>
  <si>
    <t>Side Force</t>
  </si>
  <si>
    <t xml:space="preserve">Side Force+W </t>
  </si>
  <si>
    <t>Vector Angle</t>
  </si>
  <si>
    <t>Pressure on R</t>
  </si>
  <si>
    <t>Pressure on L</t>
  </si>
  <si>
    <t>Imbalance</t>
  </si>
  <si>
    <t>Tracking</t>
  </si>
  <si>
    <t>cs*W*tanΦ'</t>
  </si>
  <si>
    <t>Vector Length</t>
  </si>
  <si>
    <t>from perpendicular</t>
  </si>
  <si>
    <t>Ratio</t>
  </si>
  <si>
    <t>Radius</t>
  </si>
  <si>
    <t>Angle</t>
  </si>
  <si>
    <t>on stylus</t>
  </si>
  <si>
    <t>RW</t>
  </si>
  <si>
    <t>LW</t>
  </si>
  <si>
    <t>LW/RW</t>
  </si>
  <si>
    <t>ｒ</t>
  </si>
  <si>
    <t>Φ’</t>
  </si>
  <si>
    <t>Max</t>
  </si>
  <si>
    <t>Relation between IFC/IF &amp; LW/RW</t>
  </si>
  <si>
    <t>Representative LW/RW without o angle error</t>
  </si>
  <si>
    <t>RATIO</t>
  </si>
  <si>
    <t>µtanΦ</t>
  </si>
  <si>
    <t>IFC/IF</t>
  </si>
  <si>
    <t>IF-IFC</t>
  </si>
  <si>
    <t>Vector degree</t>
  </si>
  <si>
    <t>Mixed simulation of lateral tracking error and deflection of cantilever by side thrust when there is no anti-skating device</t>
  </si>
  <si>
    <t xml:space="preserve">ARM </t>
  </si>
  <si>
    <t>CARTRIDGE</t>
  </si>
  <si>
    <t>Cantilever length</t>
  </si>
  <si>
    <t>cm</t>
  </si>
  <si>
    <t>Static lateral compliance</t>
  </si>
  <si>
    <t>x10^(-6) cm/dyne</t>
  </si>
  <si>
    <t>side thrust</t>
  </si>
  <si>
    <t xml:space="preserve">lateral </t>
  </si>
  <si>
    <r>
      <t>cs*W*</t>
    </r>
    <r>
      <rPr>
        <b/>
        <sz val="11"/>
        <rFont val="Times New Roman"/>
        <family val="1"/>
      </rPr>
      <t>tanΦ'</t>
    </r>
  </si>
  <si>
    <t>deflection of</t>
  </si>
  <si>
    <t xml:space="preserve">effective </t>
  </si>
  <si>
    <t>lateral tracking</t>
  </si>
  <si>
    <t>distortion %</t>
  </si>
  <si>
    <t>nominal</t>
  </si>
  <si>
    <t>cantilever</t>
  </si>
  <si>
    <t>offset angle</t>
  </si>
  <si>
    <t>error angle</t>
  </si>
  <si>
    <t>for velocity</t>
  </si>
  <si>
    <t>tracking error</t>
  </si>
  <si>
    <t>10cm/s</t>
  </si>
  <si>
    <t>According to the AES report in 1968 by Toshiba engineers: "Trackability Test by Complex Tones and Biasing Force Effects of Phonograph Pickups"</t>
  </si>
  <si>
    <t xml:space="preserve">Some of the so-called "high compliance" cartridges have produced larger I.M.D. under the specified tracking force </t>
  </si>
  <si>
    <t>than those of relatively low compliance. For low modulation level both cartridges have similar characteristics,</t>
  </si>
  <si>
    <t>but for high modulation level the former are much effected by side thrusts. Side thrust less than 0.05g is allowed</t>
  </si>
  <si>
    <t>for I.M.D. less than 10%. From this "high compliance" cartridges operating under small tracking force are not necessary good</t>
  </si>
  <si>
    <t>from the viewpoint of degradation by biasing forces.</t>
  </si>
  <si>
    <t>In JVC book(1979), (Shibata) one of the writers commented as follows:</t>
  </si>
  <si>
    <t xml:space="preserve">Due to the side thrust arising at swingable arm with offset angle and overhang </t>
  </si>
  <si>
    <t>Cantilever deflection can reach more than a few degrees by side thrusts so that tracking angle error distortion is increased.</t>
  </si>
  <si>
    <t>To avoid such occarrence, the compliance should be kept not excessively high,</t>
  </si>
  <si>
    <t xml:space="preserve"> and linear tracking arm (not swinging but linear shifting) is preferable.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</si>
</sst>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_);[Red]\(0.000\)"/>
    <numFmt numFmtId="179" formatCode="0.00_ "/>
    <numFmt numFmtId="180" formatCode="0.0_ "/>
    <numFmt numFmtId="181" formatCode="0.00_);[Red]\(0.00\)"/>
    <numFmt numFmtId="182" formatCode="0_ "/>
    <numFmt numFmtId="183" formatCode="0.0_);[Red]\(0.0\)"/>
  </numFmts>
  <fonts count="52">
    <font>
      <sz val="11"/>
      <name val="ＭＳ Ｐゴシック"/>
      <family val="3"/>
    </font>
    <font>
      <sz val="11"/>
      <name val="Times New Roman"/>
      <family val="1"/>
    </font>
    <font>
      <b/>
      <sz val="11"/>
      <name val="Times New Roman"/>
      <family val="1"/>
    </font>
    <font>
      <b/>
      <sz val="11"/>
      <color indexed="10"/>
      <name val="Times New Roman"/>
      <family val="1"/>
    </font>
    <font>
      <i/>
      <sz val="11"/>
      <name val="Times New Roman"/>
      <family val="1"/>
    </font>
    <font>
      <b/>
      <i/>
      <sz val="11"/>
      <name val="Times New Roman"/>
      <family val="1"/>
    </font>
    <font>
      <b/>
      <sz val="14"/>
      <name val="Times New Roman"/>
      <family val="1"/>
    </font>
    <font>
      <sz val="11"/>
      <color indexed="10"/>
      <name val="Times New Roman"/>
      <family val="1"/>
    </font>
    <font>
      <b/>
      <sz val="11"/>
      <color indexed="54"/>
      <name val="ＭＳ Ｐゴシック"/>
      <family val="3"/>
    </font>
    <font>
      <sz val="11"/>
      <color indexed="8"/>
      <name val="ＭＳ Ｐゴシック"/>
      <family val="3"/>
    </font>
    <font>
      <sz val="11"/>
      <color indexed="9"/>
      <name val="ＭＳ Ｐゴシック"/>
      <family val="3"/>
    </font>
    <font>
      <b/>
      <sz val="11"/>
      <color indexed="53"/>
      <name val="ＭＳ Ｐゴシック"/>
      <family val="3"/>
    </font>
    <font>
      <sz val="10"/>
      <name val="Times New Roman"/>
      <family val="1"/>
    </font>
    <font>
      <sz val="11"/>
      <color indexed="62"/>
      <name val="ＭＳ Ｐゴシック"/>
      <family val="3"/>
    </font>
    <font>
      <u val="single"/>
      <sz val="11"/>
      <color indexed="12"/>
      <name val="ＭＳ Ｐゴシック"/>
      <family val="3"/>
    </font>
    <font>
      <u val="single"/>
      <sz val="11"/>
      <color indexed="20"/>
      <name val="ＭＳ Ｐゴシック"/>
      <family val="3"/>
    </font>
    <font>
      <sz val="11"/>
      <color indexed="10"/>
      <name val="ＭＳ Ｐゴシック"/>
      <family val="3"/>
    </font>
    <font>
      <sz val="11"/>
      <color indexed="17"/>
      <name val="ＭＳ Ｐゴシック"/>
      <family val="3"/>
    </font>
    <font>
      <sz val="11"/>
      <color indexed="16"/>
      <name val="ＭＳ Ｐゴシック"/>
      <family val="3"/>
    </font>
    <font>
      <sz val="11"/>
      <color indexed="53"/>
      <name val="ＭＳ Ｐゴシック"/>
      <family val="3"/>
    </font>
    <font>
      <b/>
      <sz val="18"/>
      <color indexed="54"/>
      <name val="ＭＳ Ｐゴシック"/>
      <family val="3"/>
    </font>
    <font>
      <i/>
      <sz val="11"/>
      <color indexed="23"/>
      <name val="ＭＳ Ｐゴシック"/>
      <family val="3"/>
    </font>
    <font>
      <sz val="11"/>
      <color indexed="19"/>
      <name val="ＭＳ Ｐゴシック"/>
      <family val="3"/>
    </font>
    <font>
      <b/>
      <sz val="11"/>
      <color indexed="63"/>
      <name val="ＭＳ Ｐゴシック"/>
      <family val="3"/>
    </font>
    <font>
      <b/>
      <sz val="15"/>
      <color indexed="54"/>
      <name val="ＭＳ Ｐゴシック"/>
      <family val="3"/>
    </font>
    <font>
      <b/>
      <sz val="13"/>
      <color indexed="54"/>
      <name val="ＭＳ Ｐゴシック"/>
      <family val="3"/>
    </font>
    <font>
      <b/>
      <sz val="11"/>
      <color indexed="9"/>
      <name val="ＭＳ Ｐゴシック"/>
      <family val="3"/>
    </font>
    <font>
      <b/>
      <sz val="11"/>
      <color indexed="8"/>
      <name val="ＭＳ Ｐゴシック"/>
      <family val="3"/>
    </font>
    <font>
      <sz val="11"/>
      <color indexed="53"/>
      <name val="Times New Roman"/>
      <family val="1"/>
    </font>
    <font>
      <b/>
      <sz val="8"/>
      <color indexed="8"/>
      <name val="Times New Roman"/>
      <family val="0"/>
    </font>
    <font>
      <sz val="8"/>
      <color indexed="8"/>
      <name val="Times New Roman"/>
      <family val="0"/>
    </font>
    <font>
      <sz val="12"/>
      <color indexed="8"/>
      <name val="Times New Roman"/>
      <family val="0"/>
    </font>
    <font>
      <sz val="11"/>
      <color indexed="8"/>
      <name val="Times New Roman"/>
      <family val="0"/>
    </font>
    <font>
      <b/>
      <sz val="12"/>
      <color indexed="8"/>
      <name val="Times New Roman"/>
      <family val="0"/>
    </font>
    <font>
      <sz val="11"/>
      <color rgb="FF3F3F76"/>
      <name val="Calibri"/>
      <family val="3"/>
    </font>
    <font>
      <sz val="11"/>
      <color theme="1"/>
      <name val="Calibri"/>
      <family val="3"/>
    </font>
    <font>
      <sz val="11"/>
      <color theme="0"/>
      <name val="Calibri"/>
      <family val="3"/>
    </font>
    <font>
      <sz val="11"/>
      <color indexed="8"/>
      <name val="Calibri"/>
      <family val="3"/>
    </font>
    <font>
      <sz val="11"/>
      <color rgb="FF006100"/>
      <name val="Calibri"/>
      <family val="3"/>
    </font>
    <font>
      <sz val="11"/>
      <color rgb="FFFF0000"/>
      <name val="Calibri"/>
      <family val="3"/>
    </font>
    <font>
      <sz val="11"/>
      <color rgb="FFFA7D00"/>
      <name val="Calibri"/>
      <family val="3"/>
    </font>
    <font>
      <b/>
      <sz val="18"/>
      <color theme="3"/>
      <name val="Calibri"/>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rgb="FFFFFFFF"/>
      <name val="Calibri"/>
      <family val="3"/>
    </font>
    <font>
      <b/>
      <sz val="11"/>
      <color theme="1"/>
      <name val="Calibri"/>
      <family val="3"/>
    </font>
    <font>
      <sz val="11"/>
      <color rgb="FF9C0006"/>
      <name val="Calibri"/>
      <family val="3"/>
    </font>
    <font>
      <sz val="11"/>
      <color rgb="FF9C6500"/>
      <name val="Calibri"/>
      <family val="3"/>
    </font>
  </fonts>
  <fills count="36">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5"/>
        <bgColor indexed="64"/>
      </patternFill>
    </fill>
    <fill>
      <patternFill patternType="solid">
        <fgColor theme="7" tint="0.7999799847602844"/>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2"/>
        <bgColor indexed="64"/>
      </patternFill>
    </fill>
    <fill>
      <patternFill patternType="solid">
        <fgColor indexed="5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34" fillId="2" borderId="1" applyNumberFormat="0" applyAlignment="0" applyProtection="0"/>
    <xf numFmtId="40" fontId="0" fillId="0" borderId="0" applyFont="0" applyFill="0" applyBorder="0" applyAlignment="0" applyProtection="0"/>
    <xf numFmtId="0" fontId="12" fillId="0" borderId="0">
      <alignment/>
      <protection/>
    </xf>
    <xf numFmtId="6" fontId="0" fillId="0" borderId="0" applyFont="0" applyFill="0" applyBorder="0" applyAlignment="0" applyProtection="0"/>
    <xf numFmtId="0" fontId="35" fillId="3" borderId="0" applyNumberFormat="0" applyBorder="0" applyAlignment="0" applyProtection="0"/>
    <xf numFmtId="8"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6" fillId="4" borderId="0" applyNumberFormat="0" applyBorder="0" applyAlignment="0" applyProtection="0"/>
    <xf numFmtId="0" fontId="15" fillId="0" borderId="0" applyNumberFormat="0" applyFill="0" applyBorder="0" applyAlignment="0" applyProtection="0"/>
    <xf numFmtId="0" fontId="35" fillId="5" borderId="0" applyNumberFormat="0" applyBorder="0" applyAlignment="0" applyProtection="0"/>
    <xf numFmtId="0" fontId="37" fillId="6" borderId="2" applyNumberFormat="0" applyFont="0" applyAlignment="0" applyProtection="0"/>
    <xf numFmtId="0" fontId="38" fillId="7"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6" fillId="8" borderId="0" applyNumberFormat="0" applyBorder="0" applyAlignment="0" applyProtection="0"/>
    <xf numFmtId="0" fontId="43" fillId="9" borderId="4" applyNumberFormat="0" applyAlignment="0" applyProtection="0"/>
    <xf numFmtId="0" fontId="44" fillId="0" borderId="5" applyNumberFormat="0" applyFill="0" applyAlignment="0" applyProtection="0"/>
    <xf numFmtId="0" fontId="45" fillId="0" borderId="5" applyNumberFormat="0" applyFill="0" applyAlignment="0" applyProtection="0"/>
    <xf numFmtId="0" fontId="46" fillId="9" borderId="1" applyNumberFormat="0" applyAlignment="0" applyProtection="0"/>
    <xf numFmtId="0" fontId="47" fillId="0" borderId="6" applyNumberFormat="0" applyFill="0" applyAlignment="0" applyProtection="0"/>
    <xf numFmtId="0" fontId="47" fillId="0" borderId="0" applyNumberFormat="0" applyFill="0" applyBorder="0" applyAlignment="0" applyProtection="0"/>
    <xf numFmtId="0" fontId="36" fillId="10" borderId="0" applyNumberFormat="0" applyBorder="0" applyAlignment="0" applyProtection="0"/>
    <xf numFmtId="0" fontId="48" fillId="11" borderId="7" applyNumberFormat="0" applyAlignment="0" applyProtection="0"/>
    <xf numFmtId="0" fontId="1" fillId="0" borderId="0">
      <alignment/>
      <protection/>
    </xf>
    <xf numFmtId="0" fontId="35" fillId="12" borderId="0" applyNumberFormat="0" applyBorder="0" applyAlignment="0" applyProtection="0"/>
    <xf numFmtId="0" fontId="49" fillId="0" borderId="8" applyNumberFormat="0" applyFill="0" applyAlignment="0" applyProtection="0"/>
    <xf numFmtId="0" fontId="50" fillId="13" borderId="0" applyNumberFormat="0" applyBorder="0" applyAlignment="0" applyProtection="0"/>
    <xf numFmtId="0" fontId="51" fillId="14" borderId="0" applyNumberFormat="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xf numFmtId="0" fontId="1" fillId="0" borderId="0">
      <alignment/>
      <protection/>
    </xf>
    <xf numFmtId="0" fontId="1" fillId="0" borderId="0">
      <alignment/>
      <protection/>
    </xf>
    <xf numFmtId="0" fontId="0" fillId="0" borderId="0">
      <alignment/>
      <protection/>
    </xf>
  </cellStyleXfs>
  <cellXfs count="162">
    <xf numFmtId="0" fontId="0" fillId="0" borderId="0" xfId="0" applyAlignment="1">
      <alignment/>
    </xf>
    <xf numFmtId="0" fontId="1" fillId="0" borderId="0" xfId="42" applyFont="1">
      <alignment/>
      <protection/>
    </xf>
    <xf numFmtId="0" fontId="2" fillId="0" borderId="0" xfId="66" applyFont="1">
      <alignment/>
      <protection/>
    </xf>
    <xf numFmtId="0" fontId="1" fillId="0" borderId="0" xfId="67" applyFont="1" applyAlignment="1">
      <alignment horizontal="center"/>
      <protection/>
    </xf>
    <xf numFmtId="0" fontId="1" fillId="0" borderId="0" xfId="67" applyFont="1">
      <alignment/>
      <protection/>
    </xf>
    <xf numFmtId="0" fontId="1" fillId="0" borderId="0" xfId="66" applyFont="1">
      <alignment/>
      <protection/>
    </xf>
    <xf numFmtId="0" fontId="1" fillId="0" borderId="0" xfId="66" applyFont="1" applyAlignment="1">
      <alignment horizontal="center"/>
      <protection/>
    </xf>
    <xf numFmtId="176" fontId="1" fillId="0" borderId="0" xfId="67" applyNumberFormat="1" applyFont="1">
      <alignment/>
      <protection/>
    </xf>
    <xf numFmtId="0" fontId="2" fillId="33" borderId="9" xfId="67" applyFont="1" applyFill="1" applyBorder="1" applyProtection="1">
      <alignment/>
      <protection locked="0"/>
    </xf>
    <xf numFmtId="0" fontId="2" fillId="33" borderId="10" xfId="67" applyFont="1" applyFill="1" applyBorder="1" applyProtection="1">
      <alignment/>
      <protection locked="0"/>
    </xf>
    <xf numFmtId="0" fontId="3" fillId="0" borderId="0" xfId="66" applyFont="1">
      <alignment/>
      <protection/>
    </xf>
    <xf numFmtId="0" fontId="2" fillId="33" borderId="11" xfId="66" applyFont="1" applyFill="1" applyBorder="1" applyProtection="1">
      <alignment/>
      <protection locked="0"/>
    </xf>
    <xf numFmtId="0" fontId="1" fillId="0" borderId="0" xfId="42" applyFont="1" applyAlignment="1">
      <alignment horizontal="right"/>
      <protection/>
    </xf>
    <xf numFmtId="177" fontId="1" fillId="34" borderId="9" xfId="66" applyNumberFormat="1" applyFont="1" applyFill="1" applyBorder="1">
      <alignment/>
      <protection/>
    </xf>
    <xf numFmtId="0" fontId="2" fillId="33" borderId="12" xfId="66" applyFont="1" applyFill="1" applyBorder="1">
      <alignment/>
      <protection/>
    </xf>
    <xf numFmtId="0" fontId="1" fillId="34" borderId="9" xfId="66" applyFont="1" applyFill="1" applyBorder="1">
      <alignment/>
      <protection/>
    </xf>
    <xf numFmtId="0" fontId="1" fillId="34" borderId="9" xfId="42" applyFont="1" applyFill="1" applyBorder="1">
      <alignment/>
      <protection/>
    </xf>
    <xf numFmtId="0" fontId="1" fillId="0" borderId="0" xfId="42" applyFont="1" applyFill="1" applyBorder="1">
      <alignment/>
      <protection/>
    </xf>
    <xf numFmtId="0" fontId="1" fillId="0" borderId="0" xfId="66" applyFont="1" applyAlignment="1">
      <alignment horizontal="left"/>
      <protection/>
    </xf>
    <xf numFmtId="0" fontId="4" fillId="0" borderId="0" xfId="66" applyFont="1" applyAlignment="1">
      <alignment horizontal="center"/>
      <protection/>
    </xf>
    <xf numFmtId="0" fontId="0" fillId="0" borderId="0" xfId="67" applyFont="1" applyAlignment="1">
      <alignment horizontal="center"/>
      <protection/>
    </xf>
    <xf numFmtId="177" fontId="4" fillId="0" borderId="0" xfId="66" applyNumberFormat="1" applyFont="1" applyAlignment="1">
      <alignment horizontal="center"/>
      <protection/>
    </xf>
    <xf numFmtId="0" fontId="0" fillId="0" borderId="0" xfId="67" applyFont="1">
      <alignment/>
      <protection/>
    </xf>
    <xf numFmtId="177" fontId="4" fillId="0" borderId="13" xfId="66" applyNumberFormat="1" applyFont="1" applyBorder="1" applyAlignment="1">
      <alignment horizontal="center"/>
      <protection/>
    </xf>
    <xf numFmtId="0" fontId="1" fillId="0" borderId="13" xfId="42" applyFont="1" applyBorder="1">
      <alignment/>
      <protection/>
    </xf>
    <xf numFmtId="0" fontId="2" fillId="0" borderId="14" xfId="67" applyFont="1" applyBorder="1" applyAlignment="1">
      <alignment horizontal="center"/>
      <protection/>
    </xf>
    <xf numFmtId="176" fontId="1" fillId="0" borderId="15" xfId="67" applyNumberFormat="1" applyFont="1" applyBorder="1" applyAlignment="1">
      <alignment horizontal="center"/>
      <protection/>
    </xf>
    <xf numFmtId="177" fontId="1" fillId="0" borderId="0" xfId="66" applyNumberFormat="1" applyFont="1">
      <alignment/>
      <protection/>
    </xf>
    <xf numFmtId="0" fontId="2" fillId="0" borderId="0" xfId="67" applyFont="1" applyBorder="1" applyAlignment="1">
      <alignment horizontal="center"/>
      <protection/>
    </xf>
    <xf numFmtId="176" fontId="1" fillId="0" borderId="0" xfId="67" applyNumberFormat="1" applyFont="1" applyBorder="1" applyAlignment="1">
      <alignment horizontal="center"/>
      <protection/>
    </xf>
    <xf numFmtId="177" fontId="5" fillId="0" borderId="0" xfId="66" applyNumberFormat="1" applyFont="1" applyAlignment="1">
      <alignment horizontal="left"/>
      <protection/>
    </xf>
    <xf numFmtId="0" fontId="1" fillId="0" borderId="0" xfId="66" applyFont="1" applyFill="1">
      <alignment/>
      <protection/>
    </xf>
    <xf numFmtId="0" fontId="2" fillId="33" borderId="9" xfId="66" applyFont="1" applyFill="1" applyBorder="1" applyProtection="1">
      <alignment/>
      <protection locked="0"/>
    </xf>
    <xf numFmtId="0" fontId="1" fillId="0" borderId="0" xfId="66" applyFont="1" applyFill="1" applyBorder="1" applyAlignment="1">
      <alignment horizontal="left"/>
      <protection/>
    </xf>
    <xf numFmtId="0" fontId="1" fillId="0" borderId="0" xfId="42" applyFont="1" applyFill="1">
      <alignment/>
      <protection/>
    </xf>
    <xf numFmtId="0" fontId="1" fillId="0" borderId="16" xfId="66" applyFont="1" applyBorder="1">
      <alignment/>
      <protection/>
    </xf>
    <xf numFmtId="0" fontId="1" fillId="0" borderId="17" xfId="66" applyFont="1" applyBorder="1">
      <alignment/>
      <protection/>
    </xf>
    <xf numFmtId="0" fontId="1" fillId="0" borderId="17" xfId="42" applyFont="1" applyBorder="1">
      <alignment/>
      <protection/>
    </xf>
    <xf numFmtId="0" fontId="1" fillId="0" borderId="17" xfId="66" applyFont="1" applyBorder="1" applyAlignment="1">
      <alignment horizontal="center"/>
      <protection/>
    </xf>
    <xf numFmtId="0" fontId="1" fillId="33" borderId="9" xfId="66" applyFont="1" applyFill="1" applyBorder="1">
      <alignment/>
      <protection/>
    </xf>
    <xf numFmtId="0" fontId="1" fillId="0" borderId="18" xfId="66" applyFont="1" applyBorder="1">
      <alignment/>
      <protection/>
    </xf>
    <xf numFmtId="0" fontId="2" fillId="0" borderId="19" xfId="67" applyFont="1" applyBorder="1" applyAlignment="1">
      <alignment horizontal="right"/>
      <protection/>
    </xf>
    <xf numFmtId="0" fontId="2" fillId="0" borderId="0" xfId="66" applyFont="1" applyBorder="1">
      <alignment/>
      <protection/>
    </xf>
    <xf numFmtId="0" fontId="1" fillId="0" borderId="0" xfId="42" applyFont="1" applyBorder="1">
      <alignment/>
      <protection/>
    </xf>
    <xf numFmtId="0" fontId="4" fillId="0" borderId="0" xfId="66" applyFont="1" applyBorder="1" applyAlignment="1">
      <alignment horizontal="center"/>
      <protection/>
    </xf>
    <xf numFmtId="0" fontId="1" fillId="0" borderId="20" xfId="66" applyFont="1" applyBorder="1" applyAlignment="1">
      <alignment horizontal="center"/>
      <protection/>
    </xf>
    <xf numFmtId="178" fontId="1" fillId="0" borderId="0" xfId="66" applyNumberFormat="1" applyFont="1">
      <alignment/>
      <protection/>
    </xf>
    <xf numFmtId="0" fontId="0" fillId="0" borderId="19" xfId="67" applyFont="1" applyBorder="1" applyAlignment="1">
      <alignment horizontal="center"/>
      <protection/>
    </xf>
    <xf numFmtId="176" fontId="1" fillId="0" borderId="0" xfId="66" applyNumberFormat="1" applyFont="1" applyBorder="1">
      <alignment/>
      <protection/>
    </xf>
    <xf numFmtId="0" fontId="1" fillId="0" borderId="9" xfId="66" applyFont="1" applyBorder="1">
      <alignment/>
      <protection/>
    </xf>
    <xf numFmtId="176" fontId="1" fillId="0" borderId="0" xfId="42" applyNumberFormat="1" applyFont="1" applyBorder="1">
      <alignment/>
      <protection/>
    </xf>
    <xf numFmtId="179" fontId="1" fillId="0" borderId="0" xfId="66" applyNumberFormat="1" applyFont="1" applyBorder="1">
      <alignment/>
      <protection/>
    </xf>
    <xf numFmtId="178" fontId="1" fillId="0" borderId="20" xfId="66" applyNumberFormat="1" applyFont="1" applyBorder="1">
      <alignment/>
      <protection/>
    </xf>
    <xf numFmtId="0" fontId="0" fillId="0" borderId="21" xfId="67" applyFont="1" applyBorder="1" applyAlignment="1">
      <alignment horizontal="center"/>
      <protection/>
    </xf>
    <xf numFmtId="176" fontId="1" fillId="0" borderId="13" xfId="66" applyNumberFormat="1" applyFont="1" applyBorder="1">
      <alignment/>
      <protection/>
    </xf>
    <xf numFmtId="176" fontId="1" fillId="0" borderId="13" xfId="42" applyNumberFormat="1" applyFont="1" applyBorder="1">
      <alignment/>
      <protection/>
    </xf>
    <xf numFmtId="179" fontId="1" fillId="0" borderId="13" xfId="66" applyNumberFormat="1" applyFont="1" applyBorder="1">
      <alignment/>
      <protection/>
    </xf>
    <xf numFmtId="178" fontId="1" fillId="0" borderId="22" xfId="66" applyNumberFormat="1" applyFont="1" applyBorder="1">
      <alignment/>
      <protection/>
    </xf>
    <xf numFmtId="0" fontId="1" fillId="34" borderId="0" xfId="67" applyFont="1" applyFill="1">
      <alignment/>
      <protection/>
    </xf>
    <xf numFmtId="176" fontId="1" fillId="34" borderId="0" xfId="67" applyNumberFormat="1" applyFont="1" applyFill="1">
      <alignment/>
      <protection/>
    </xf>
    <xf numFmtId="0" fontId="1" fillId="33" borderId="9" xfId="67" applyFont="1" applyFill="1" applyBorder="1" applyProtection="1">
      <alignment/>
      <protection locked="0"/>
    </xf>
    <xf numFmtId="0" fontId="1" fillId="33" borderId="10" xfId="67" applyFont="1" applyFill="1" applyBorder="1" applyProtection="1">
      <alignment/>
      <protection locked="0"/>
    </xf>
    <xf numFmtId="0" fontId="1" fillId="34" borderId="0" xfId="66" applyFont="1" applyFill="1">
      <alignment/>
      <protection/>
    </xf>
    <xf numFmtId="0" fontId="1" fillId="33" borderId="11" xfId="66" applyFont="1" applyFill="1" applyBorder="1">
      <alignment/>
      <protection/>
    </xf>
    <xf numFmtId="0" fontId="1" fillId="0" borderId="16" xfId="42" applyFont="1" applyBorder="1">
      <alignment/>
      <protection/>
    </xf>
    <xf numFmtId="0" fontId="1" fillId="0" borderId="18" xfId="42" applyFont="1" applyBorder="1">
      <alignment/>
      <protection/>
    </xf>
    <xf numFmtId="0" fontId="2" fillId="0" borderId="16" xfId="42" applyFont="1" applyBorder="1">
      <alignment/>
      <protection/>
    </xf>
    <xf numFmtId="0" fontId="1" fillId="0" borderId="19" xfId="42" applyFont="1" applyBorder="1">
      <alignment/>
      <protection/>
    </xf>
    <xf numFmtId="0" fontId="2" fillId="0" borderId="20" xfId="42" applyFont="1" applyBorder="1">
      <alignment/>
      <protection/>
    </xf>
    <xf numFmtId="0" fontId="1" fillId="0" borderId="0" xfId="42" applyFont="1" applyAlignment="1">
      <alignment horizontal="center"/>
      <protection/>
    </xf>
    <xf numFmtId="176" fontId="1" fillId="0" borderId="0" xfId="66" applyNumberFormat="1" applyFont="1">
      <alignment/>
      <protection/>
    </xf>
    <xf numFmtId="176" fontId="1" fillId="0" borderId="0" xfId="42" applyNumberFormat="1" applyFont="1">
      <alignment/>
      <protection/>
    </xf>
    <xf numFmtId="176" fontId="5" fillId="0" borderId="19" xfId="42" applyNumberFormat="1" applyFont="1" applyBorder="1">
      <alignment/>
      <protection/>
    </xf>
    <xf numFmtId="176" fontId="4" fillId="0" borderId="20" xfId="42" applyNumberFormat="1" applyFont="1" applyBorder="1">
      <alignment/>
      <protection/>
    </xf>
    <xf numFmtId="176" fontId="2" fillId="0" borderId="19" xfId="67" applyNumberFormat="1" applyFont="1" applyBorder="1" applyAlignment="1">
      <alignment horizontal="center"/>
      <protection/>
    </xf>
    <xf numFmtId="176" fontId="5" fillId="0" borderId="21" xfId="42" applyNumberFormat="1" applyFont="1" applyBorder="1">
      <alignment/>
      <protection/>
    </xf>
    <xf numFmtId="176" fontId="4" fillId="0" borderId="22" xfId="42" applyNumberFormat="1" applyFont="1" applyBorder="1">
      <alignment/>
      <protection/>
    </xf>
    <xf numFmtId="176" fontId="2" fillId="0" borderId="21" xfId="67" applyNumberFormat="1" applyFont="1" applyBorder="1" applyAlignment="1">
      <alignment horizontal="center"/>
      <protection/>
    </xf>
    <xf numFmtId="0" fontId="1" fillId="0" borderId="0" xfId="42" applyNumberFormat="1" applyFont="1">
      <alignment/>
      <protection/>
    </xf>
    <xf numFmtId="0" fontId="4" fillId="0" borderId="0" xfId="42" applyFont="1">
      <alignment/>
      <protection/>
    </xf>
    <xf numFmtId="0" fontId="1" fillId="0" borderId="0" xfId="65">
      <alignment/>
      <protection/>
    </xf>
    <xf numFmtId="0" fontId="6" fillId="0" borderId="0" xfId="65" applyFont="1">
      <alignment/>
      <protection/>
    </xf>
    <xf numFmtId="0" fontId="5" fillId="0" borderId="0" xfId="65" applyFont="1">
      <alignment/>
      <protection/>
    </xf>
    <xf numFmtId="0" fontId="2" fillId="0" borderId="0" xfId="65" applyFont="1">
      <alignment/>
      <protection/>
    </xf>
    <xf numFmtId="0" fontId="1" fillId="0" borderId="0" xfId="65" applyFont="1">
      <alignment/>
      <protection/>
    </xf>
    <xf numFmtId="0" fontId="2" fillId="0" borderId="19" xfId="65" applyFont="1" applyBorder="1">
      <alignment/>
      <protection/>
    </xf>
    <xf numFmtId="0" fontId="1" fillId="0" borderId="21" xfId="65" applyBorder="1">
      <alignment/>
      <protection/>
    </xf>
    <xf numFmtId="0" fontId="2" fillId="0" borderId="9" xfId="65" applyFont="1" applyFill="1" applyBorder="1">
      <alignment/>
      <protection/>
    </xf>
    <xf numFmtId="176" fontId="1" fillId="0" borderId="0" xfId="65" applyNumberFormat="1" applyFont="1" applyFill="1">
      <alignment/>
      <protection/>
    </xf>
    <xf numFmtId="0" fontId="2" fillId="33" borderId="9" xfId="65" applyFont="1" applyFill="1" applyBorder="1" applyProtection="1">
      <alignment/>
      <protection locked="0"/>
    </xf>
    <xf numFmtId="0" fontId="1" fillId="0" borderId="0" xfId="65" applyFont="1" applyFill="1">
      <alignment/>
      <protection/>
    </xf>
    <xf numFmtId="0" fontId="2" fillId="0" borderId="9" xfId="65" applyFont="1" applyFill="1" applyBorder="1" applyProtection="1">
      <alignment/>
      <protection locked="0"/>
    </xf>
    <xf numFmtId="0" fontId="2" fillId="33" borderId="10" xfId="65" applyFont="1" applyFill="1" applyBorder="1" applyProtection="1">
      <alignment/>
      <protection locked="0"/>
    </xf>
    <xf numFmtId="180" fontId="1" fillId="0" borderId="9" xfId="18" applyNumberFormat="1" applyFont="1" applyFill="1" applyBorder="1" applyAlignment="1">
      <alignment horizontal="center"/>
      <protection/>
    </xf>
    <xf numFmtId="176" fontId="1" fillId="0" borderId="19" xfId="65" applyNumberFormat="1" applyFont="1" applyFill="1" applyBorder="1">
      <alignment/>
      <protection/>
    </xf>
    <xf numFmtId="0" fontId="2" fillId="0" borderId="0" xfId="65" applyFont="1" applyAlignment="1">
      <alignment horizontal="center"/>
      <protection/>
    </xf>
    <xf numFmtId="179" fontId="1" fillId="0" borderId="0" xfId="65" applyNumberFormat="1" applyFont="1">
      <alignment/>
      <protection/>
    </xf>
    <xf numFmtId="180" fontId="1" fillId="0" borderId="11" xfId="18" applyNumberFormat="1" applyFont="1" applyFill="1" applyBorder="1" applyAlignment="1">
      <alignment horizontal="center"/>
      <protection/>
    </xf>
    <xf numFmtId="180" fontId="1" fillId="0" borderId="0" xfId="65" applyNumberFormat="1" applyFont="1">
      <alignment/>
      <protection/>
    </xf>
    <xf numFmtId="0" fontId="1" fillId="0" borderId="19" xfId="65" applyFont="1" applyBorder="1">
      <alignment/>
      <protection/>
    </xf>
    <xf numFmtId="0" fontId="2" fillId="0" borderId="9" xfId="65" applyFont="1" applyBorder="1">
      <alignment/>
      <protection/>
    </xf>
    <xf numFmtId="179" fontId="2" fillId="0" borderId="9" xfId="65" applyNumberFormat="1" applyFont="1" applyBorder="1">
      <alignment/>
      <protection/>
    </xf>
    <xf numFmtId="180" fontId="2" fillId="0" borderId="9" xfId="18" applyNumberFormat="1" applyFont="1" applyFill="1" applyBorder="1" applyAlignment="1">
      <alignment horizontal="center"/>
      <protection/>
    </xf>
    <xf numFmtId="180" fontId="2" fillId="0" borderId="14" xfId="65" applyNumberFormat="1" applyFont="1" applyBorder="1">
      <alignment/>
      <protection/>
    </xf>
    <xf numFmtId="180" fontId="1" fillId="0" borderId="10" xfId="18" applyNumberFormat="1" applyFont="1" applyFill="1" applyBorder="1" applyAlignment="1">
      <alignment horizontal="center"/>
      <protection/>
    </xf>
    <xf numFmtId="0" fontId="1" fillId="0" borderId="0" xfId="65" applyBorder="1">
      <alignment/>
      <protection/>
    </xf>
    <xf numFmtId="0" fontId="1" fillId="0" borderId="0" xfId="65" applyFont="1" applyBorder="1">
      <alignment/>
      <protection/>
    </xf>
    <xf numFmtId="0" fontId="2" fillId="0" borderId="0" xfId="65" applyFont="1" applyBorder="1">
      <alignment/>
      <protection/>
    </xf>
    <xf numFmtId="0" fontId="1" fillId="0" borderId="0" xfId="65" applyFont="1" applyFill="1" applyBorder="1">
      <alignment/>
      <protection/>
    </xf>
    <xf numFmtId="0" fontId="1" fillId="35" borderId="9" xfId="65" applyFill="1" applyBorder="1">
      <alignment/>
      <protection/>
    </xf>
    <xf numFmtId="181" fontId="1" fillId="34" borderId="9" xfId="65" applyNumberFormat="1" applyFill="1" applyBorder="1">
      <alignment/>
      <protection/>
    </xf>
    <xf numFmtId="0" fontId="1" fillId="0" borderId="0" xfId="65" applyFont="1" applyFill="1" applyBorder="1" applyProtection="1">
      <alignment/>
      <protection locked="0"/>
    </xf>
    <xf numFmtId="180" fontId="1" fillId="0" borderId="0" xfId="18" applyNumberFormat="1" applyFont="1" applyFill="1" applyBorder="1" applyAlignment="1">
      <alignment horizontal="center"/>
      <protection/>
    </xf>
    <xf numFmtId="176" fontId="1" fillId="0" borderId="0" xfId="65" applyNumberFormat="1" applyFont="1" applyFill="1" applyBorder="1">
      <alignment/>
      <protection/>
    </xf>
    <xf numFmtId="181" fontId="1" fillId="0" borderId="9" xfId="65" applyNumberFormat="1" applyBorder="1">
      <alignment/>
      <protection/>
    </xf>
    <xf numFmtId="0" fontId="7" fillId="0" borderId="0" xfId="65" applyFont="1">
      <alignment/>
      <protection/>
    </xf>
    <xf numFmtId="0" fontId="2" fillId="33" borderId="9" xfId="65" applyFont="1" applyFill="1" applyBorder="1">
      <alignment/>
      <protection/>
    </xf>
    <xf numFmtId="180" fontId="1" fillId="33" borderId="9" xfId="65" applyNumberFormat="1" applyFill="1" applyBorder="1">
      <alignment/>
      <protection/>
    </xf>
    <xf numFmtId="0" fontId="1" fillId="0" borderId="0" xfId="65" applyFill="1">
      <alignment/>
      <protection/>
    </xf>
    <xf numFmtId="180" fontId="2" fillId="34" borderId="9" xfId="65" applyNumberFormat="1" applyFont="1" applyFill="1" applyBorder="1">
      <alignment/>
      <protection/>
    </xf>
    <xf numFmtId="180" fontId="1" fillId="34" borderId="9" xfId="65" applyNumberFormat="1" applyFill="1" applyBorder="1">
      <alignment/>
      <protection/>
    </xf>
    <xf numFmtId="0" fontId="1" fillId="33" borderId="9" xfId="65" applyFill="1" applyBorder="1">
      <alignment/>
      <protection/>
    </xf>
    <xf numFmtId="0" fontId="1" fillId="0" borderId="0" xfId="65" applyFont="1" applyAlignment="1">
      <alignment horizontal="right"/>
      <protection/>
    </xf>
    <xf numFmtId="0" fontId="1" fillId="0" borderId="0" xfId="65" applyFont="1" applyAlignment="1">
      <alignment horizontal="left"/>
      <protection/>
    </xf>
    <xf numFmtId="0" fontId="1" fillId="34" borderId="16" xfId="65" applyFill="1" applyBorder="1">
      <alignment/>
      <protection/>
    </xf>
    <xf numFmtId="0" fontId="1" fillId="34" borderId="18" xfId="65" applyFill="1" applyBorder="1">
      <alignment/>
      <protection/>
    </xf>
    <xf numFmtId="182" fontId="1" fillId="0" borderId="0" xfId="65" applyNumberFormat="1" applyFont="1" applyBorder="1" applyAlignment="1">
      <alignment vertical="center" textRotation="180" wrapText="1"/>
      <protection/>
    </xf>
    <xf numFmtId="0" fontId="1" fillId="34" borderId="19" xfId="65" applyFill="1" applyBorder="1">
      <alignment/>
      <protection/>
    </xf>
    <xf numFmtId="0" fontId="1" fillId="34" borderId="20" xfId="65" applyFill="1" applyBorder="1">
      <alignment/>
      <protection/>
    </xf>
    <xf numFmtId="182" fontId="0" fillId="0" borderId="0" xfId="0" applyNumberFormat="1" applyBorder="1" applyAlignment="1">
      <alignment vertical="center" textRotation="180" wrapText="1"/>
    </xf>
    <xf numFmtId="0" fontId="2" fillId="34" borderId="23" xfId="65" applyFont="1" applyFill="1" applyBorder="1">
      <alignment/>
      <protection/>
    </xf>
    <xf numFmtId="0" fontId="2" fillId="34" borderId="24" xfId="65" applyFont="1" applyFill="1" applyBorder="1">
      <alignment/>
      <protection/>
    </xf>
    <xf numFmtId="0" fontId="2" fillId="34" borderId="25" xfId="65" applyFont="1" applyFill="1" applyBorder="1">
      <alignment/>
      <protection/>
    </xf>
    <xf numFmtId="0" fontId="2" fillId="34" borderId="26" xfId="65" applyFont="1" applyFill="1" applyBorder="1">
      <alignment/>
      <protection/>
    </xf>
    <xf numFmtId="0" fontId="2" fillId="34" borderId="27" xfId="65" applyFont="1" applyFill="1" applyBorder="1">
      <alignment/>
      <protection/>
    </xf>
    <xf numFmtId="0" fontId="2" fillId="34" borderId="28" xfId="65" applyFont="1" applyFill="1" applyBorder="1">
      <alignment/>
      <protection/>
    </xf>
    <xf numFmtId="0" fontId="3" fillId="0" borderId="0" xfId="0" applyFont="1" applyAlignment="1">
      <alignment/>
    </xf>
    <xf numFmtId="0" fontId="1" fillId="0" borderId="0" xfId="0" applyFont="1" applyAlignment="1">
      <alignment/>
    </xf>
    <xf numFmtId="0" fontId="7" fillId="0" borderId="0" xfId="0" applyFont="1" applyAlignment="1">
      <alignment/>
    </xf>
    <xf numFmtId="0" fontId="1" fillId="0" borderId="23" xfId="0" applyFont="1" applyBorder="1" applyAlignment="1">
      <alignment/>
    </xf>
    <xf numFmtId="0" fontId="1" fillId="0" borderId="29" xfId="0" applyFont="1" applyBorder="1" applyAlignment="1">
      <alignment/>
    </xf>
    <xf numFmtId="0" fontId="2" fillId="33" borderId="30" xfId="0" applyFont="1" applyFill="1" applyBorder="1" applyAlignment="1">
      <alignment/>
    </xf>
    <xf numFmtId="0" fontId="1" fillId="0" borderId="24" xfId="0" applyFont="1" applyBorder="1" applyAlignment="1">
      <alignment/>
    </xf>
    <xf numFmtId="0" fontId="1" fillId="0" borderId="25" xfId="0" applyFont="1" applyBorder="1" applyAlignment="1">
      <alignment/>
    </xf>
    <xf numFmtId="0" fontId="1" fillId="0" borderId="0" xfId="0" applyFont="1" applyBorder="1" applyAlignment="1">
      <alignment/>
    </xf>
    <xf numFmtId="0" fontId="2" fillId="33" borderId="9" xfId="0" applyFont="1" applyFill="1" applyBorder="1" applyAlignment="1">
      <alignment/>
    </xf>
    <xf numFmtId="0" fontId="1" fillId="0" borderId="26" xfId="0" applyFont="1" applyBorder="1" applyAlignment="1">
      <alignment/>
    </xf>
    <xf numFmtId="0" fontId="1" fillId="0" borderId="27" xfId="0" applyFont="1" applyBorder="1" applyAlignment="1">
      <alignment/>
    </xf>
    <xf numFmtId="0" fontId="1" fillId="0" borderId="31" xfId="0" applyFont="1" applyBorder="1" applyAlignment="1">
      <alignment/>
    </xf>
    <xf numFmtId="0" fontId="3" fillId="34" borderId="32" xfId="0" applyFont="1" applyFill="1" applyBorder="1" applyAlignment="1">
      <alignment/>
    </xf>
    <xf numFmtId="0" fontId="1" fillId="0" borderId="28" xfId="0" applyFont="1" applyBorder="1" applyAlignment="1">
      <alignment/>
    </xf>
    <xf numFmtId="0" fontId="1" fillId="0" borderId="0" xfId="0" applyFont="1" applyFill="1" applyBorder="1" applyAlignment="1">
      <alignment/>
    </xf>
    <xf numFmtId="0" fontId="1" fillId="33" borderId="9" xfId="0" applyFont="1" applyFill="1" applyBorder="1" applyAlignment="1">
      <alignment horizontal="center"/>
    </xf>
    <xf numFmtId="176" fontId="1" fillId="34" borderId="9" xfId="0" applyNumberFormat="1" applyFont="1" applyFill="1" applyBorder="1" applyAlignment="1">
      <alignment/>
    </xf>
    <xf numFmtId="176" fontId="1" fillId="34" borderId="10" xfId="0" applyNumberFormat="1" applyFont="1" applyFill="1" applyBorder="1" applyAlignment="1">
      <alignment/>
    </xf>
    <xf numFmtId="0" fontId="1" fillId="0" borderId="10" xfId="0" applyFont="1" applyBorder="1" applyAlignment="1">
      <alignment/>
    </xf>
    <xf numFmtId="0" fontId="2" fillId="0" borderId="0" xfId="0" applyFont="1" applyAlignment="1">
      <alignment horizontal="right"/>
    </xf>
    <xf numFmtId="0" fontId="2" fillId="0" borderId="19" xfId="0" applyFont="1" applyBorder="1" applyAlignment="1">
      <alignment/>
    </xf>
    <xf numFmtId="0" fontId="2" fillId="0" borderId="0" xfId="0" applyFont="1" applyFill="1" applyAlignment="1">
      <alignment horizontal="center"/>
    </xf>
    <xf numFmtId="0" fontId="1" fillId="34" borderId="9" xfId="0" applyFont="1" applyFill="1" applyBorder="1" applyAlignment="1">
      <alignment/>
    </xf>
    <xf numFmtId="0" fontId="2" fillId="0" borderId="19" xfId="0" applyFont="1" applyBorder="1" applyAlignment="1">
      <alignment horizontal="center"/>
    </xf>
    <xf numFmtId="0" fontId="2" fillId="0" borderId="0" xfId="0" applyFont="1" applyAlignment="1">
      <alignment/>
    </xf>
  </cellXfs>
  <cellStyles count="54">
    <cellStyle name="Normal" xfId="0"/>
    <cellStyle name="Comma [0]" xfId="15"/>
    <cellStyle name="入力" xfId="16"/>
    <cellStyle name="Comma" xfId="17"/>
    <cellStyle name="標準_compa" xfId="18"/>
    <cellStyle name="Currency [0]" xfId="19"/>
    <cellStyle name="40% - アクセント 5" xfId="20"/>
    <cellStyle name="Currency" xfId="21"/>
    <cellStyle name="Percent" xfId="22"/>
    <cellStyle name="Hyperlink" xfId="23"/>
    <cellStyle name="アクセント 2" xfId="24"/>
    <cellStyle name="Followed Hyperlink" xfId="25"/>
    <cellStyle name="20% - アクセント 4" xfId="26"/>
    <cellStyle name="メモ" xfId="27"/>
    <cellStyle name="良い" xfId="28"/>
    <cellStyle name="警告文" xfId="29"/>
    <cellStyle name="リンクセル" xfId="30"/>
    <cellStyle name="タイトル" xfId="31"/>
    <cellStyle name="説明文" xfId="32"/>
    <cellStyle name="アクセント 6" xfId="33"/>
    <cellStyle name="出力" xfId="34"/>
    <cellStyle name="見出し 1" xfId="35"/>
    <cellStyle name="見出し 2" xfId="36"/>
    <cellStyle name="計算" xfId="37"/>
    <cellStyle name="見出し 3" xfId="38"/>
    <cellStyle name="見出し 4" xfId="39"/>
    <cellStyle name="60% - アクセント 5" xfId="40"/>
    <cellStyle name="チェックセル" xfId="41"/>
    <cellStyle name="標準_Side Force at Arms" xfId="42"/>
    <cellStyle name="40% - アクセント 1" xfId="43"/>
    <cellStyle name="集計" xfId="44"/>
    <cellStyle name="悪い" xfId="45"/>
    <cellStyle name="どちらでもない" xfId="46"/>
    <cellStyle name="アクセント 1" xfId="47"/>
    <cellStyle name="20% - アクセント 1" xfId="48"/>
    <cellStyle name="20% - アクセント 5" xfId="49"/>
    <cellStyle name="60% - アクセント 1" xfId="50"/>
    <cellStyle name="20% - アクセント 2" xfId="51"/>
    <cellStyle name="40% - アクセント 2" xfId="52"/>
    <cellStyle name="20% - アクセント 6" xfId="53"/>
    <cellStyle name="60% - アクセント 2" xfId="54"/>
    <cellStyle name="アクセント 3" xfId="55"/>
    <cellStyle name="20% - アクセント 3" xfId="56"/>
    <cellStyle name="40% - アクセント 3" xfId="57"/>
    <cellStyle name="60% - アクセント 3" xfId="58"/>
    <cellStyle name="アクセント 4" xfId="59"/>
    <cellStyle name="40% - アクセント 4" xfId="60"/>
    <cellStyle name="60% - アクセント 4" xfId="61"/>
    <cellStyle name="アクセント 5" xfId="62"/>
    <cellStyle name="40% - アクセント 6" xfId="63"/>
    <cellStyle name="60% - アクセント 6" xfId="64"/>
    <cellStyle name="標準_Alignment" xfId="65"/>
    <cellStyle name="標準_Armcalc" xfId="66"/>
    <cellStyle name="標準_アームのデータ_Side Force at Arms"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Overhang shift on shell</a:t>
            </a:r>
          </a:p>
        </c:rich>
      </c:tx>
      <c:layout>
        <c:manualLayout>
          <c:xMode val="factor"/>
          <c:yMode val="factor"/>
          <c:x val="-0.0105"/>
          <c:y val="-0.01825"/>
        </c:manualLayout>
      </c:layout>
      <c:spPr>
        <a:noFill/>
        <a:ln w="3175">
          <a:noFill/>
        </a:ln>
      </c:spPr>
    </c:title>
    <c:plotArea>
      <c:layout>
        <c:manualLayout>
          <c:xMode val="edge"/>
          <c:yMode val="edge"/>
          <c:x val="0.17025"/>
          <c:y val="0.07425"/>
          <c:w val="0.70875"/>
          <c:h val="0.73775"/>
        </c:manualLayout>
      </c:layout>
      <c:scatterChart>
        <c:scatterStyle val="smooth"/>
        <c:varyColors val="0"/>
        <c:ser>
          <c:idx val="0"/>
          <c:order val="0"/>
          <c:tx>
            <c:v>Null point 1</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Alignment!$A$14:$A$22</c:f>
              <c:numCache/>
            </c:numRef>
          </c:xVal>
          <c:yVal>
            <c:numRef>
              <c:f>Alignment!$D$14:$D$22</c:f>
              <c:numCache/>
            </c:numRef>
          </c:yVal>
          <c:smooth val="1"/>
        </c:ser>
        <c:ser>
          <c:idx val="1"/>
          <c:order val="1"/>
          <c:tx>
            <c:v>Null point 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Alignment!$A$14:$A$22</c:f>
              <c:numCache/>
            </c:numRef>
          </c:xVal>
          <c:yVal>
            <c:numRef>
              <c:f>Alignment!$E$14:$E$22</c:f>
              <c:numCache/>
            </c:numRef>
          </c:yVal>
          <c:smooth val="1"/>
        </c:ser>
        <c:axId val="60343832"/>
        <c:axId val="30034969"/>
      </c:scatterChart>
      <c:scatterChart>
        <c:scatterStyle val="lineMarker"/>
        <c:varyColors val="0"/>
        <c:ser>
          <c:idx val="2"/>
          <c:order val="2"/>
          <c:tx>
            <c:v>Overhang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Alignment!$A$14:$A$22</c:f>
              <c:numCache/>
            </c:numRef>
          </c:xVal>
          <c:yVal>
            <c:numRef>
              <c:f>Alignment!$F$14:$F$22</c:f>
              <c:numCache/>
            </c:numRef>
          </c:yVal>
          <c:smooth val="1"/>
        </c:ser>
        <c:axId val="6115930"/>
        <c:axId val="61991131"/>
      </c:scatterChart>
      <c:valAx>
        <c:axId val="60343832"/>
        <c:scaling>
          <c:orientation val="minMax"/>
          <c:max val="3"/>
          <c:min val="-3"/>
        </c:scaling>
        <c:axPos val="b"/>
        <c:title>
          <c:tx>
            <c:rich>
              <a:bodyPr vert="horz" rot="0" anchor="ctr"/>
              <a:lstStyle/>
              <a:p>
                <a:pPr algn="ctr">
                  <a:defRPr/>
                </a:pPr>
                <a:r>
                  <a:rPr lang="en-US" cap="none" sz="800" b="1" i="0" u="none" baseline="0">
                    <a:solidFill>
                      <a:srgbClr val="000000"/>
                    </a:solidFill>
                  </a:rPr>
                  <a:t>Shift on shell (mm)</a:t>
                </a:r>
              </a:p>
            </c:rich>
          </c:tx>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0034969"/>
        <c:crossesAt val="0"/>
        <c:crossBetween val="midCat"/>
        <c:dispUnits/>
        <c:majorUnit val="1"/>
        <c:minorUnit val="0.5"/>
      </c:valAx>
      <c:valAx>
        <c:axId val="30034969"/>
        <c:scaling>
          <c:orientation val="minMax"/>
          <c:max val="150"/>
          <c:min val="50"/>
        </c:scaling>
        <c:axPos val="l"/>
        <c:title>
          <c:tx>
            <c:rich>
              <a:bodyPr vert="horz" rot="-5400000" anchor="ctr"/>
              <a:lstStyle/>
              <a:p>
                <a:pPr algn="ctr">
                  <a:defRPr/>
                </a:pPr>
                <a:r>
                  <a:rPr lang="en-US" cap="none" sz="800" b="0" i="0" u="none" baseline="0">
                    <a:solidFill>
                      <a:srgbClr val="000000"/>
                    </a:solidFill>
                  </a:rPr>
                  <a:t>Groove radius (mm)</a:t>
                </a:r>
              </a:p>
            </c:rich>
          </c:tx>
          <c:layout/>
          <c:overlay val="0"/>
          <c:spPr>
            <a:noFill/>
            <a:ln w="3175">
              <a:noFill/>
            </a:ln>
          </c:spPr>
        </c:title>
        <c:majorGridlines>
          <c:spPr>
            <a:ln w="3175">
              <a:solidFill/>
            </a:ln>
          </c:spPr>
        </c:majorGridlines>
        <c:delete val="0"/>
        <c:numFmt formatCode="0_ "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0343832"/>
        <c:crossesAt val="-10"/>
        <c:crossBetween val="midCat"/>
        <c:dispUnits/>
      </c:valAx>
      <c:valAx>
        <c:axId val="6115930"/>
        <c:scaling>
          <c:orientation val="minMax"/>
        </c:scaling>
        <c:axPos val="b"/>
        <c:delete val="0"/>
        <c:numFmt formatCode="General" sourceLinked="1"/>
        <c:majorTickMark val="in"/>
        <c:minorTickMark val="none"/>
        <c:tickLblPos val="none"/>
        <c:spPr>
          <a:ln w="3175">
            <a:noFill/>
          </a:ln>
        </c:spPr>
        <c:crossAx val="61991131"/>
        <c:crossesAt val="0"/>
        <c:crossBetween val="midCat"/>
        <c:dispUnits/>
      </c:valAx>
      <c:valAx>
        <c:axId val="61991131"/>
        <c:scaling>
          <c:orientation val="minMax"/>
          <c:max val="20"/>
          <c:min val="10"/>
        </c:scaling>
        <c:axPos val="l"/>
        <c:title>
          <c:tx>
            <c:rich>
              <a:bodyPr vert="horz" rot="-5400000" anchor="ctr"/>
              <a:lstStyle/>
              <a:p>
                <a:pPr algn="ctr">
                  <a:defRPr/>
                </a:pPr>
                <a:r>
                  <a:rPr lang="en-US" cap="none" sz="800" b="0" i="0" u="none" baseline="0">
                    <a:solidFill>
                      <a:srgbClr val="000000"/>
                    </a:solidFill>
                  </a:rPr>
                  <a:t>Overhang(mm)</a:t>
                </a:r>
              </a:p>
            </c:rich>
          </c:tx>
          <c:layout/>
          <c:overlay val="0"/>
          <c:spPr>
            <a:noFill/>
            <a:ln w="3175">
              <a:noFill/>
            </a:ln>
          </c:spPr>
        </c:title>
        <c:delete val="0"/>
        <c:numFmt formatCode="0_ "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115930"/>
        <c:crosses val="max"/>
        <c:crossBetween val="midCat"/>
        <c:dispUnits/>
      </c:valAx>
      <c:spPr>
        <a:solidFill>
          <a:srgbClr val="C0C0C0"/>
        </a:solidFill>
        <a:ln w="12700">
          <a:solidFill>
            <a:srgbClr val="808080"/>
          </a:solidFill>
        </a:ln>
      </c:spPr>
    </c:plotArea>
    <c:legend>
      <c:legendPos val="r"/>
      <c:layout>
        <c:manualLayout>
          <c:xMode val="edge"/>
          <c:yMode val="edge"/>
          <c:x val="0.62125"/>
          <c:y val="0.08425"/>
          <c:w val="0.24225"/>
          <c:h val="0.15875"/>
        </c:manualLayout>
      </c:layout>
      <c:overlay val="0"/>
      <c:spPr>
        <a:solidFill>
          <a:srgbClr val="FFFFFF"/>
        </a:solidFill>
        <a:ln w="3175">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Shift on bedplate</a:t>
            </a:r>
          </a:p>
        </c:rich>
      </c:tx>
      <c:layout>
        <c:manualLayout>
          <c:xMode val="factor"/>
          <c:yMode val="factor"/>
          <c:x val="0.00275"/>
          <c:y val="-0.021"/>
        </c:manualLayout>
      </c:layout>
      <c:spPr>
        <a:noFill/>
        <a:ln w="3175">
          <a:noFill/>
        </a:ln>
      </c:spPr>
    </c:title>
    <c:plotArea>
      <c:layout>
        <c:manualLayout>
          <c:xMode val="edge"/>
          <c:yMode val="edge"/>
          <c:x val="0.1335"/>
          <c:y val="0.08025"/>
          <c:w val="0.7415"/>
          <c:h val="0.785"/>
        </c:manualLayout>
      </c:layout>
      <c:scatterChart>
        <c:scatterStyle val="smooth"/>
        <c:varyColors val="0"/>
        <c:ser>
          <c:idx val="0"/>
          <c:order val="0"/>
          <c:tx>
            <c:v>Null point 1</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Alignment!$G$14:$G$22</c:f>
              <c:numCache/>
            </c:numRef>
          </c:xVal>
          <c:yVal>
            <c:numRef>
              <c:f>Alignment!$H$14:$H$22</c:f>
              <c:numCache/>
            </c:numRef>
          </c:yVal>
          <c:smooth val="1"/>
        </c:ser>
        <c:ser>
          <c:idx val="1"/>
          <c:order val="1"/>
          <c:tx>
            <c:v>Null point 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Alignment!$G$14:$G$22</c:f>
              <c:numCache/>
            </c:numRef>
          </c:xVal>
          <c:yVal>
            <c:numRef>
              <c:f>Alignment!$I$14:$I$22</c:f>
              <c:numCache/>
            </c:numRef>
          </c:yVal>
          <c:smooth val="1"/>
        </c:ser>
        <c:axId val="2891676"/>
        <c:axId val="53741213"/>
      </c:scatterChart>
      <c:scatterChart>
        <c:scatterStyle val="lineMarker"/>
        <c:varyColors val="0"/>
        <c:ser>
          <c:idx val="2"/>
          <c:order val="2"/>
          <c:tx>
            <c:v>Overhang</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Alignment!$G$14:$G$22</c:f>
              <c:numCache/>
            </c:numRef>
          </c:xVal>
          <c:yVal>
            <c:numRef>
              <c:f>Alignment!$J$14:$J$22</c:f>
              <c:numCache/>
            </c:numRef>
          </c:yVal>
          <c:smooth val="1"/>
        </c:ser>
        <c:axId val="3517918"/>
        <c:axId val="27338079"/>
      </c:scatterChart>
      <c:valAx>
        <c:axId val="2891676"/>
        <c:scaling>
          <c:orientation val="minMax"/>
        </c:scaling>
        <c:axPos val="b"/>
        <c:title>
          <c:tx>
            <c:rich>
              <a:bodyPr vert="horz" rot="0" anchor="ctr"/>
              <a:lstStyle/>
              <a:p>
                <a:pPr algn="ctr">
                  <a:defRPr/>
                </a:pPr>
                <a:r>
                  <a:rPr lang="en-US" cap="none" sz="800" b="1" i="0" u="none" baseline="0">
                    <a:solidFill>
                      <a:srgbClr val="000000"/>
                    </a:solidFill>
                  </a:rPr>
                  <a:t>Mounting distance</a:t>
                </a:r>
              </a:p>
            </c:rich>
          </c:tx>
          <c:layout>
            <c:manualLayout>
              <c:xMode val="factor"/>
              <c:yMode val="factor"/>
              <c:x val="-0.10475"/>
              <c:y val="0.01275"/>
            </c:manualLayout>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53741213"/>
        <c:crossesAt val="0"/>
        <c:crossBetween val="midCat"/>
        <c:dispUnits/>
        <c:majorUnit val="1"/>
        <c:minorUnit val="0.5"/>
      </c:valAx>
      <c:valAx>
        <c:axId val="53741213"/>
        <c:scaling>
          <c:orientation val="minMax"/>
          <c:max val="150"/>
          <c:min val="50"/>
        </c:scaling>
        <c:axPos val="l"/>
        <c:title>
          <c:tx>
            <c:rich>
              <a:bodyPr vert="horz" rot="-5400000" anchor="ctr"/>
              <a:lstStyle/>
              <a:p>
                <a:pPr algn="ctr">
                  <a:defRPr/>
                </a:pPr>
                <a:r>
                  <a:rPr lang="en-US" cap="none" sz="800" b="0" i="0" u="none" baseline="0">
                    <a:solidFill>
                      <a:srgbClr val="000000"/>
                    </a:solidFill>
                  </a:rPr>
                  <a:t>Groove radius(mm)</a:t>
                </a:r>
              </a:p>
            </c:rich>
          </c:tx>
          <c:layout/>
          <c:overlay val="0"/>
          <c:spPr>
            <a:noFill/>
            <a:ln w="3175">
              <a:noFill/>
            </a:ln>
          </c:spPr>
        </c:title>
        <c:majorGridlines>
          <c:spPr>
            <a:ln w="3175">
              <a:solidFill/>
            </a:ln>
          </c:spPr>
        </c:majorGridlines>
        <c:delete val="0"/>
        <c:numFmt formatCode="0_ "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2891676"/>
        <c:crossesAt val="0"/>
        <c:crossBetween val="midCat"/>
        <c:dispUnits/>
      </c:valAx>
      <c:valAx>
        <c:axId val="3517918"/>
        <c:scaling>
          <c:orientation val="minMax"/>
        </c:scaling>
        <c:axPos val="b"/>
        <c:delete val="0"/>
        <c:numFmt formatCode="General" sourceLinked="1"/>
        <c:majorTickMark val="in"/>
        <c:minorTickMark val="none"/>
        <c:tickLblPos val="none"/>
        <c:spPr>
          <a:ln w="3175">
            <a:noFill/>
          </a:ln>
        </c:spPr>
        <c:crossAx val="27338079"/>
        <c:crosses val="max"/>
        <c:crossBetween val="midCat"/>
        <c:dispUnits/>
      </c:valAx>
      <c:valAx>
        <c:axId val="27338079"/>
        <c:scaling>
          <c:orientation val="minMax"/>
          <c:max val="20"/>
          <c:min val="10"/>
        </c:scaling>
        <c:axPos val="l"/>
        <c:title>
          <c:tx>
            <c:rich>
              <a:bodyPr vert="horz" rot="-5400000" anchor="ctr"/>
              <a:lstStyle/>
              <a:p>
                <a:pPr algn="ctr">
                  <a:defRPr/>
                </a:pPr>
                <a:r>
                  <a:rPr lang="en-US" cap="none" sz="800" b="0" i="0" u="none" baseline="0">
                    <a:solidFill>
                      <a:srgbClr val="000000"/>
                    </a:solidFill>
                  </a:rPr>
                  <a:t>Overhang (mm)</a:t>
                </a:r>
              </a:p>
            </c:rich>
          </c:tx>
          <c:layout/>
          <c:overlay val="0"/>
          <c:spPr>
            <a:noFill/>
            <a:ln w="3175">
              <a:noFill/>
            </a:ln>
          </c:spPr>
        </c:title>
        <c:delete val="0"/>
        <c:numFmt formatCode="0_ "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517918"/>
        <c:crosses val="max"/>
        <c:crossBetween val="midCat"/>
        <c:dispUnits/>
      </c:valAx>
      <c:spPr>
        <a:solidFill>
          <a:srgbClr val="C0C0C0"/>
        </a:solidFill>
        <a:ln w="12700">
          <a:solidFill>
            <a:srgbClr val="808080"/>
          </a:solidFill>
        </a:ln>
      </c:spPr>
    </c:plotArea>
    <c:legend>
      <c:legendPos val="r"/>
      <c:layout>
        <c:manualLayout>
          <c:xMode val="edge"/>
          <c:yMode val="edge"/>
          <c:x val="0.14925"/>
          <c:y val="0.0865"/>
          <c:w val="0.2725"/>
          <c:h val="0.1655"/>
        </c:manualLayout>
      </c:layout>
      <c:overlay val="0"/>
      <c:spPr>
        <a:solidFill>
          <a:srgbClr val="FFFFFF"/>
        </a:solidFill>
        <a:ln w="3175">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75"/>
          <c:y val="0.05725"/>
          <c:w val="0.75875"/>
          <c:h val="0.694"/>
        </c:manualLayout>
      </c:layout>
      <c:scatterChart>
        <c:scatterStyle val="smooth"/>
        <c:varyColors val="0"/>
        <c:ser>
          <c:idx val="0"/>
          <c:order val="0"/>
          <c:tx>
            <c:v>cs=0.2</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Imbalance!$D$48:$D$52</c:f>
              <c:numCache/>
            </c:numRef>
          </c:xVal>
          <c:yVal>
            <c:numRef>
              <c:f>Imbalance!$G$48:$G$52</c:f>
              <c:numCache/>
            </c:numRef>
          </c:yVal>
          <c:smooth val="1"/>
        </c:ser>
        <c:ser>
          <c:idx val="1"/>
          <c:order val="1"/>
          <c:tx>
            <c:v>cs=0.3</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Imbalance!$D$56:$D$60</c:f>
              <c:numCache/>
            </c:numRef>
          </c:xVal>
          <c:yVal>
            <c:numRef>
              <c:f>Imbalance!$G$56:$G$60</c:f>
              <c:numCache/>
            </c:numRef>
          </c:yVal>
          <c:smooth val="1"/>
        </c:ser>
        <c:ser>
          <c:idx val="2"/>
          <c:order val="2"/>
          <c:tx>
            <c:v>cs=0.4</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Imbalance!$D$64:$D$68</c:f>
              <c:numCache/>
            </c:numRef>
          </c:xVal>
          <c:yVal>
            <c:numRef>
              <c:f>Imbalance!$G$64:$G$68</c:f>
              <c:numCache/>
            </c:numRef>
          </c:yVal>
          <c:smooth val="1"/>
        </c:ser>
        <c:axId val="32144672"/>
        <c:axId val="9028897"/>
      </c:scatterChart>
      <c:valAx>
        <c:axId val="32144672"/>
        <c:scaling>
          <c:orientation val="minMax"/>
          <c:max val="2"/>
        </c:scaling>
        <c:axPos val="b"/>
        <c:title>
          <c:tx>
            <c:rich>
              <a:bodyPr vert="horz" rot="0" anchor="ctr"/>
              <a:lstStyle/>
              <a:p>
                <a:pPr algn="ctr">
                  <a:defRPr/>
                </a:pPr>
                <a:r>
                  <a:rPr lang="en-US" cap="none" sz="1200" b="0" i="0" u="none" baseline="0">
                    <a:solidFill>
                      <a:srgbClr val="000000"/>
                    </a:solidFill>
                  </a:rPr>
                  <a:t>IFC/IF</a:t>
                </a:r>
              </a:p>
            </c:rich>
          </c:tx>
          <c:layout>
            <c:manualLayout>
              <c:xMode val="factor"/>
              <c:yMode val="factor"/>
              <c:x val="-0.11325"/>
              <c:y val="-0.00175"/>
            </c:manualLayout>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1200" b="0" i="0" u="none" baseline="0">
                <a:solidFill>
                  <a:srgbClr val="000000"/>
                </a:solidFill>
              </a:defRPr>
            </a:pPr>
          </a:p>
        </c:txPr>
        <c:crossAx val="9028897"/>
        <c:crossesAt val="0.7"/>
        <c:crossBetween val="midCat"/>
        <c:dispUnits/>
      </c:valAx>
      <c:valAx>
        <c:axId val="9028897"/>
        <c:scaling>
          <c:orientation val="minMax"/>
          <c:max val="1.4"/>
          <c:min val="0.7"/>
        </c:scaling>
        <c:axPos val="l"/>
        <c:title>
          <c:tx>
            <c:rich>
              <a:bodyPr vert="horz" rot="-5400000" anchor="ctr"/>
              <a:lstStyle/>
              <a:p>
                <a:pPr algn="ctr">
                  <a:defRPr/>
                </a:pPr>
                <a:r>
                  <a:rPr lang="en-US" cap="none" sz="1200" b="0" i="0" u="none" baseline="0">
                    <a:solidFill>
                      <a:srgbClr val="000000"/>
                    </a:solidFill>
                  </a:rPr>
                  <a:t>LW/RW</a:t>
                </a:r>
              </a:p>
            </c:rich>
          </c:tx>
          <c:layout/>
          <c:overlay val="0"/>
          <c:spPr>
            <a:noFill/>
            <a:ln w="3175">
              <a:noFill/>
            </a:ln>
          </c:spPr>
        </c:title>
        <c:majorGridlines>
          <c:spPr>
            <a:ln w="3175">
              <a:solidFill/>
            </a:ln>
          </c:spPr>
        </c:majorGridlines>
        <c:delete val="0"/>
        <c:numFmt formatCode="0.0_);[Red]\(0.0\)" sourceLinked="0"/>
        <c:majorTickMark val="in"/>
        <c:minorTickMark val="none"/>
        <c:tickLblPos val="nextTo"/>
        <c:spPr>
          <a:ln w="3175">
            <a:solidFill>
              <a:srgbClr val="000000"/>
            </a:solidFill>
          </a:ln>
        </c:spPr>
        <c:txPr>
          <a:bodyPr/>
          <a:lstStyle/>
          <a:p>
            <a:pPr>
              <a:defRPr lang="en-US" cap="none" sz="1200" b="0" i="0" u="none" baseline="0">
                <a:solidFill>
                  <a:srgbClr val="000000"/>
                </a:solidFill>
              </a:defRPr>
            </a:pPr>
          </a:p>
        </c:txPr>
        <c:crossAx val="32144672"/>
        <c:crosses val="autoZero"/>
        <c:crossBetween val="midCat"/>
        <c:dispUnits/>
        <c:majorUnit val="0.1"/>
        <c:minorUnit val="0.1"/>
      </c:valAx>
      <c:spPr>
        <a:solidFill>
          <a:srgbClr val="C0C0C0"/>
        </a:solidFill>
        <a:ln w="12700">
          <a:solidFill>
            <a:srgbClr val="808080"/>
          </a:solidFill>
        </a:ln>
      </c:spPr>
    </c:plotArea>
    <c:legend>
      <c:legendPos val="r"/>
      <c:layout>
        <c:manualLayout>
          <c:xMode val="edge"/>
          <c:yMode val="edge"/>
          <c:x val="0.7075"/>
          <c:y val="0.114"/>
          <c:w val="0.241"/>
          <c:h val="0.294"/>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Imbalance of pressure on flanks due to side force from friction</a:t>
            </a:r>
          </a:p>
        </c:rich>
      </c:tx>
      <c:layout/>
      <c:spPr>
        <a:noFill/>
        <a:ln w="3175">
          <a:noFill/>
        </a:ln>
      </c:spPr>
    </c:title>
    <c:plotArea>
      <c:layout>
        <c:manualLayout>
          <c:xMode val="edge"/>
          <c:yMode val="edge"/>
          <c:x val="0.0735"/>
          <c:y val="0.1735"/>
          <c:w val="0.898"/>
          <c:h val="0.66575"/>
        </c:manualLayout>
      </c:layout>
      <c:scatterChart>
        <c:scatterStyle val="smooth"/>
        <c:varyColors val="0"/>
        <c:ser>
          <c:idx val="4"/>
          <c:order val="0"/>
          <c:tx>
            <c:v>RW (g)</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Imbalance!$A$16:$A$35</c:f>
              <c:numCache/>
            </c:numRef>
          </c:xVal>
          <c:yVal>
            <c:numRef>
              <c:f>Imbalance!$F$16:$F$35</c:f>
              <c:numCache/>
            </c:numRef>
          </c:yVal>
          <c:smooth val="1"/>
        </c:ser>
        <c:ser>
          <c:idx val="5"/>
          <c:order val="1"/>
          <c:tx>
            <c:v>LW (g)</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Imbalance!$A$16:$A$35</c:f>
              <c:numCache/>
            </c:numRef>
          </c:xVal>
          <c:yVal>
            <c:numRef>
              <c:f>Imbalance!$G$16:$G$35</c:f>
              <c:numCache/>
            </c:numRef>
          </c:yVal>
          <c:smooth val="1"/>
        </c:ser>
        <c:ser>
          <c:idx val="6"/>
          <c:order val="2"/>
          <c:tx>
            <c:v>imbalance ratio: LW/RW</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Imbalance!$A$16:$A$35</c:f>
              <c:numCache/>
            </c:numRef>
          </c:xVal>
          <c:yVal>
            <c:numRef>
              <c:f>Imbalance!$H$16:$H$35</c:f>
              <c:numCache/>
            </c:numRef>
          </c:yVal>
          <c:smooth val="1"/>
        </c:ser>
        <c:axId val="50007394"/>
        <c:axId val="29255139"/>
      </c:scatterChart>
      <c:valAx>
        <c:axId val="50007394"/>
        <c:scaling>
          <c:orientation val="minMax"/>
          <c:max val="147"/>
          <c:min val="57"/>
        </c:scaling>
        <c:axPos val="b"/>
        <c:title>
          <c:tx>
            <c:rich>
              <a:bodyPr vert="horz" rot="0" anchor="ctr"/>
              <a:lstStyle/>
              <a:p>
                <a:pPr algn="ctr">
                  <a:defRPr/>
                </a:pPr>
                <a:r>
                  <a:rPr lang="en-US" cap="none" sz="1100" b="0" i="0" u="none" baseline="0">
                    <a:solidFill>
                      <a:srgbClr val="000000"/>
                    </a:solidFill>
                  </a:rPr>
                  <a:t>Groove radius (mm)</a:t>
                </a:r>
              </a:p>
            </c:rich>
          </c:tx>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1100" b="0" i="0" u="none" baseline="0">
                <a:solidFill>
                  <a:srgbClr val="000000"/>
                </a:solidFill>
              </a:defRPr>
            </a:pPr>
          </a:p>
        </c:txPr>
        <c:crossAx val="29255139"/>
        <c:crossesAt val="0.8"/>
        <c:crossBetween val="midCat"/>
        <c:dispUnits/>
        <c:majorUnit val="10"/>
      </c:valAx>
      <c:valAx>
        <c:axId val="29255139"/>
        <c:scaling>
          <c:orientation val="minMax"/>
          <c:min val="0.8"/>
        </c:scaling>
        <c:axPos val="l"/>
        <c:title>
          <c:tx>
            <c:rich>
              <a:bodyPr vert="horz" rot="0" anchor="ctr"/>
              <a:lstStyle/>
              <a:p>
                <a:pPr algn="ctr">
                  <a:defRPr/>
                </a:pPr>
                <a:r>
                  <a:rPr lang="en-US" cap="none" sz="1100" b="0" i="0" u="none" baseline="0">
                    <a:solidFill>
                      <a:srgbClr val="000000"/>
                    </a:solidFill>
                  </a:rPr>
                  <a:t>ratio or g</a:t>
                </a:r>
              </a:p>
            </c:rich>
          </c:tx>
          <c:layout>
            <c:manualLayout>
              <c:xMode val="factor"/>
              <c:yMode val="factor"/>
              <c:x val="0.014"/>
              <c:y val="-0.06775"/>
            </c:manualLayout>
          </c:layout>
          <c:overlay val="0"/>
          <c:spPr>
            <a:noFill/>
            <a:ln w="3175">
              <a:noFill/>
            </a:ln>
          </c:spPr>
        </c:title>
        <c:majorGridlines>
          <c:spPr>
            <a:ln w="3175">
              <a:solidFill/>
            </a:ln>
          </c:spPr>
        </c:majorGridlines>
        <c:delete val="0"/>
        <c:numFmt formatCode="0.0_ " sourceLinked="0"/>
        <c:majorTickMark val="in"/>
        <c:minorTickMark val="none"/>
        <c:tickLblPos val="nextTo"/>
        <c:spPr>
          <a:ln w="3175">
            <a:solidFill>
              <a:srgbClr val="000000"/>
            </a:solidFill>
          </a:ln>
        </c:spPr>
        <c:txPr>
          <a:bodyPr/>
          <a:lstStyle/>
          <a:p>
            <a:pPr>
              <a:defRPr lang="en-US" cap="none" sz="1100" b="0" i="0" u="none" baseline="0">
                <a:solidFill>
                  <a:srgbClr val="000000"/>
                </a:solidFill>
              </a:defRPr>
            </a:pPr>
          </a:p>
        </c:txPr>
        <c:crossAx val="50007394"/>
        <c:crossesAt val="57"/>
        <c:crossBetween val="midCat"/>
        <c:dispUnits/>
        <c:minorUnit val="0.04"/>
      </c:valAx>
      <c:spPr>
        <a:solidFill>
          <a:srgbClr val="C0C0C0"/>
        </a:solidFill>
        <a:ln w="12700">
          <a:solidFill>
            <a:srgbClr val="808080"/>
          </a:solidFill>
        </a:ln>
      </c:spPr>
    </c:plotArea>
    <c:legend>
      <c:legendPos val="r"/>
      <c:layout>
        <c:manualLayout>
          <c:xMode val="edge"/>
          <c:yMode val="edge"/>
          <c:x val="0.52925"/>
          <c:y val="0.533"/>
          <c:w val="0.38075"/>
          <c:h val="0.16825"/>
        </c:manualLayout>
      </c:layout>
      <c:overlay val="0"/>
      <c:spPr>
        <a:solidFill>
          <a:srgbClr val="FFFFFF"/>
        </a:solidFill>
        <a:ln w="3175">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Comparison between Nominal rate without consideration of side thrust and New simulation including side thrust effect for cartridge compliance 25cu (VTF 2g) and cantilever length 8mm and stylus drag coefficient 0.3</a:t>
            </a:r>
          </a:p>
        </c:rich>
      </c:tx>
      <c:layout>
        <c:manualLayout>
          <c:xMode val="factor"/>
          <c:yMode val="factor"/>
          <c:x val="0.0635"/>
          <c:y val="-0.0155"/>
        </c:manualLayout>
      </c:layout>
      <c:spPr>
        <a:noFill/>
        <a:ln w="3175">
          <a:noFill/>
        </a:ln>
      </c:spPr>
    </c:title>
    <c:plotArea>
      <c:layout>
        <c:manualLayout>
          <c:xMode val="edge"/>
          <c:yMode val="edge"/>
          <c:x val="0.1305"/>
          <c:y val="0.153"/>
          <c:w val="0.84425"/>
          <c:h val="0.7765"/>
        </c:manualLayout>
      </c:layout>
      <c:scatterChart>
        <c:scatterStyle val="smooth"/>
        <c:varyColors val="0"/>
        <c:ser>
          <c:idx val="4"/>
          <c:order val="0"/>
          <c:tx>
            <c:v>Lateral tracking error angle (NOMINAL)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Imbalance!$A$87:$A$123</c:f>
              <c:numCache/>
            </c:numRef>
          </c:xVal>
          <c:yVal>
            <c:numRef>
              <c:f>Imbalance!$H$87:$H$123</c:f>
              <c:numCache/>
            </c:numRef>
          </c:yVal>
          <c:smooth val="1"/>
        </c:ser>
        <c:ser>
          <c:idx val="5"/>
          <c:order val="1"/>
          <c:tx>
            <c:v>Error angle under effect of side thrust</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Imbalance!$A$87:$A$123</c:f>
              <c:numCache/>
            </c:numRef>
          </c:xVal>
          <c:yVal>
            <c:numRef>
              <c:f>Imbalance!$F$87:$F$123</c:f>
              <c:numCache/>
            </c:numRef>
          </c:yVal>
          <c:smooth val="1"/>
        </c:ser>
        <c:ser>
          <c:idx val="0"/>
          <c:order val="2"/>
          <c:tx>
            <c:v>NOMINAL distortion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Imbalance!$A$87:$A$123</c:f>
              <c:numCache/>
            </c:numRef>
          </c:xVal>
          <c:yVal>
            <c:numRef>
              <c:f>Imbalance!$I$87:$I$123</c:f>
              <c:numCache/>
            </c:numRef>
          </c:yVal>
          <c:smooth val="1"/>
        </c:ser>
        <c:ser>
          <c:idx val="1"/>
          <c:order val="3"/>
          <c:tx>
            <c:v>Distortion including side thrust effect on cantilever angle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Imbalance!$A$87:$A$123</c:f>
              <c:numCache/>
            </c:numRef>
          </c:xVal>
          <c:yVal>
            <c:numRef>
              <c:f>Imbalance!$G$87:$G$123</c:f>
              <c:numCache/>
            </c:numRef>
          </c:yVal>
          <c:smooth val="1"/>
        </c:ser>
        <c:axId val="22535844"/>
        <c:axId val="55543717"/>
      </c:scatterChart>
      <c:valAx>
        <c:axId val="22535844"/>
        <c:scaling>
          <c:orientation val="minMax"/>
          <c:max val="150"/>
          <c:min val="55"/>
        </c:scaling>
        <c:axPos val="b"/>
        <c:title>
          <c:tx>
            <c:rich>
              <a:bodyPr vert="horz" rot="0" anchor="ctr"/>
              <a:lstStyle/>
              <a:p>
                <a:pPr algn="ctr">
                  <a:defRPr/>
                </a:pPr>
                <a:r>
                  <a:rPr lang="en-US" cap="none" sz="1200" b="0" i="0" u="none" baseline="0">
                    <a:solidFill>
                      <a:srgbClr val="000000"/>
                    </a:solidFill>
                  </a:rPr>
                  <a:t>groove radius (mm)</a:t>
                </a:r>
              </a:p>
            </c:rich>
          </c:tx>
          <c:layout/>
          <c:overlay val="0"/>
          <c:spPr>
            <a:noFill/>
            <a:ln w="3175">
              <a:noFill/>
            </a:ln>
          </c:spPr>
        </c:title>
        <c:majorGridlines>
          <c:spPr>
            <a:ln w="3175">
              <a:solidFill/>
            </a:ln>
          </c:spPr>
        </c:majorGridlines>
        <c:delete val="0"/>
        <c:numFmt formatCode="0_ " sourceLinked="0"/>
        <c:majorTickMark val="in"/>
        <c:minorTickMark val="none"/>
        <c:tickLblPos val="nextTo"/>
        <c:spPr>
          <a:ln w="3175">
            <a:solidFill>
              <a:srgbClr val="000000"/>
            </a:solidFill>
          </a:ln>
        </c:spPr>
        <c:txPr>
          <a:bodyPr/>
          <a:lstStyle/>
          <a:p>
            <a:pPr>
              <a:defRPr lang="en-US" cap="none" sz="1200" b="0" i="0" u="none" baseline="0">
                <a:solidFill>
                  <a:srgbClr val="000000"/>
                </a:solidFill>
              </a:defRPr>
            </a:pPr>
          </a:p>
        </c:txPr>
        <c:crossAx val="55543717"/>
        <c:crosses val="autoZero"/>
        <c:crossBetween val="midCat"/>
        <c:dispUnits/>
        <c:majorUnit val="10"/>
        <c:minorUnit val="5"/>
      </c:valAx>
      <c:valAx>
        <c:axId val="55543717"/>
        <c:scaling>
          <c:orientation val="minMax"/>
          <c:max val="1.5"/>
          <c:min val="-2"/>
        </c:scaling>
        <c:axPos val="l"/>
        <c:title>
          <c:tx>
            <c:rich>
              <a:bodyPr vert="horz" rot="-5400000" anchor="ctr"/>
              <a:lstStyle/>
              <a:p>
                <a:pPr algn="ctr">
                  <a:defRPr/>
                </a:pPr>
                <a:r>
                  <a:rPr lang="en-US" cap="none" sz="1200" b="1" i="0" u="none" baseline="0">
                    <a:solidFill>
                      <a:srgbClr val="000000"/>
                    </a:solidFill>
                  </a:rPr>
                  <a:t>degree or distortion (%)</a:t>
                </a:r>
              </a:p>
            </c:rich>
          </c:tx>
          <c:layout/>
          <c:overlay val="0"/>
          <c:spPr>
            <a:noFill/>
            <a:ln w="3175">
              <a:noFill/>
            </a:ln>
          </c:spPr>
        </c:title>
        <c:majorGridlines>
          <c:spPr>
            <a:ln w="3175">
              <a:solidFill/>
            </a:ln>
          </c:spPr>
        </c:majorGridlines>
        <c:delete val="0"/>
        <c:numFmt formatCode="0.0_ " sourceLinked="0"/>
        <c:majorTickMark val="in"/>
        <c:minorTickMark val="none"/>
        <c:tickLblPos val="nextTo"/>
        <c:spPr>
          <a:ln w="3175">
            <a:solidFill>
              <a:srgbClr val="000000"/>
            </a:solidFill>
          </a:ln>
        </c:spPr>
        <c:txPr>
          <a:bodyPr/>
          <a:lstStyle/>
          <a:p>
            <a:pPr>
              <a:defRPr lang="en-US" cap="none" sz="1200" b="0" i="0" u="none" baseline="0">
                <a:solidFill>
                  <a:srgbClr val="000000"/>
                </a:solidFill>
              </a:defRPr>
            </a:pPr>
          </a:p>
        </c:txPr>
        <c:crossAx val="22535844"/>
        <c:crossesAt val="0"/>
        <c:crossBetween val="midCat"/>
        <c:dispUnits/>
      </c:valAx>
      <c:spPr>
        <a:solidFill>
          <a:srgbClr val="C0C0C0"/>
        </a:solidFill>
        <a:ln w="12700">
          <a:solidFill>
            <a:srgbClr val="808080"/>
          </a:solidFill>
        </a:ln>
      </c:spPr>
    </c:plotArea>
    <c:legend>
      <c:legendPos val="r"/>
      <c:layout>
        <c:manualLayout>
          <c:xMode val="edge"/>
          <c:yMode val="edge"/>
          <c:x val="0.195"/>
          <c:y val="0.71475"/>
          <c:w val="0.57375"/>
          <c:h val="0.21125"/>
        </c:manualLayout>
      </c:layout>
      <c:overlay val="0"/>
      <c:spPr>
        <a:solidFill>
          <a:srgbClr val="FFFFFF"/>
        </a:solidFill>
        <a:ln w="3175">
          <a:solid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0</xdr:rowOff>
    </xdr:from>
    <xdr:to>
      <xdr:col>5</xdr:col>
      <xdr:colOff>190500</xdr:colOff>
      <xdr:row>37</xdr:row>
      <xdr:rowOff>171450</xdr:rowOff>
    </xdr:to>
    <xdr:graphicFrame>
      <xdr:nvGraphicFramePr>
        <xdr:cNvPr id="1" name="Chart 9"/>
        <xdr:cNvGraphicFramePr/>
      </xdr:nvGraphicFramePr>
      <xdr:xfrm>
        <a:off x="57150" y="3867150"/>
        <a:ext cx="3552825" cy="2781300"/>
      </xdr:xfrm>
      <a:graphic>
        <a:graphicData uri="http://schemas.openxmlformats.org/drawingml/2006/chart">
          <c:chart xmlns:c="http://schemas.openxmlformats.org/drawingml/2006/chart" r:id="rId1"/>
        </a:graphicData>
      </a:graphic>
    </xdr:graphicFrame>
    <xdr:clientData/>
  </xdr:twoCellAnchor>
  <xdr:twoCellAnchor>
    <xdr:from>
      <xdr:col>5</xdr:col>
      <xdr:colOff>266700</xdr:colOff>
      <xdr:row>22</xdr:row>
      <xdr:rowOff>0</xdr:rowOff>
    </xdr:from>
    <xdr:to>
      <xdr:col>10</xdr:col>
      <xdr:colOff>295275</xdr:colOff>
      <xdr:row>38</xdr:row>
      <xdr:rowOff>9525</xdr:rowOff>
    </xdr:to>
    <xdr:graphicFrame>
      <xdr:nvGraphicFramePr>
        <xdr:cNvPr id="2" name="Chart 10"/>
        <xdr:cNvGraphicFramePr/>
      </xdr:nvGraphicFramePr>
      <xdr:xfrm>
        <a:off x="3686175" y="3867150"/>
        <a:ext cx="3438525" cy="2790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53</xdr:row>
      <xdr:rowOff>0</xdr:rowOff>
    </xdr:from>
    <xdr:to>
      <xdr:col>11</xdr:col>
      <xdr:colOff>438150</xdr:colOff>
      <xdr:row>65</xdr:row>
      <xdr:rowOff>133350</xdr:rowOff>
    </xdr:to>
    <xdr:graphicFrame>
      <xdr:nvGraphicFramePr>
        <xdr:cNvPr id="1" name="Chart 9"/>
        <xdr:cNvGraphicFramePr/>
      </xdr:nvGraphicFramePr>
      <xdr:xfrm>
        <a:off x="6496050" y="9429750"/>
        <a:ext cx="3248025" cy="2190750"/>
      </xdr:xfrm>
      <a:graphic>
        <a:graphicData uri="http://schemas.openxmlformats.org/drawingml/2006/chart">
          <c:chart xmlns:c="http://schemas.openxmlformats.org/drawingml/2006/chart" r:id="rId1"/>
        </a:graphicData>
      </a:graphic>
    </xdr:graphicFrame>
    <xdr:clientData/>
  </xdr:twoCellAnchor>
  <xdr:twoCellAnchor>
    <xdr:from>
      <xdr:col>8</xdr:col>
      <xdr:colOff>57150</xdr:colOff>
      <xdr:row>12</xdr:row>
      <xdr:rowOff>57150</xdr:rowOff>
    </xdr:from>
    <xdr:to>
      <xdr:col>15</xdr:col>
      <xdr:colOff>438150</xdr:colOff>
      <xdr:row>32</xdr:row>
      <xdr:rowOff>9525</xdr:rowOff>
    </xdr:to>
    <xdr:graphicFrame>
      <xdr:nvGraphicFramePr>
        <xdr:cNvPr id="2" name="Chart 10"/>
        <xdr:cNvGraphicFramePr/>
      </xdr:nvGraphicFramePr>
      <xdr:xfrm>
        <a:off x="7324725" y="2133600"/>
        <a:ext cx="4857750" cy="3381375"/>
      </xdr:xfrm>
      <a:graphic>
        <a:graphicData uri="http://schemas.openxmlformats.org/drawingml/2006/chart">
          <c:chart xmlns:c="http://schemas.openxmlformats.org/drawingml/2006/chart" r:id="rId2"/>
        </a:graphicData>
      </a:graphic>
    </xdr:graphicFrame>
    <xdr:clientData/>
  </xdr:twoCellAnchor>
  <xdr:twoCellAnchor>
    <xdr:from>
      <xdr:col>0</xdr:col>
      <xdr:colOff>457200</xdr:colOff>
      <xdr:row>123</xdr:row>
      <xdr:rowOff>95250</xdr:rowOff>
    </xdr:from>
    <xdr:to>
      <xdr:col>7</xdr:col>
      <xdr:colOff>180975</xdr:colOff>
      <xdr:row>145</xdr:row>
      <xdr:rowOff>38100</xdr:rowOff>
    </xdr:to>
    <xdr:graphicFrame>
      <xdr:nvGraphicFramePr>
        <xdr:cNvPr id="3" name="Chart 11"/>
        <xdr:cNvGraphicFramePr/>
      </xdr:nvGraphicFramePr>
      <xdr:xfrm>
        <a:off x="457200" y="21574125"/>
        <a:ext cx="6143625" cy="37242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183"/>
  <sheetViews>
    <sheetView tabSelected="1" workbookViewId="0" topLeftCell="A96">
      <selection activeCell="K52" sqref="K52"/>
    </sheetView>
  </sheetViews>
  <sheetFormatPr defaultColWidth="8.875" defaultRowHeight="13.5"/>
  <cols>
    <col min="1" max="1" width="10.875" style="80" customWidth="1"/>
    <col min="2" max="2" width="10.00390625" style="80" customWidth="1"/>
    <col min="3" max="5" width="8.00390625" style="80" customWidth="1"/>
    <col min="6" max="6" width="9.375" style="80" customWidth="1"/>
    <col min="7" max="7" width="11.375" style="80" customWidth="1"/>
    <col min="8" max="10" width="8.00390625" style="80" customWidth="1"/>
    <col min="11" max="11" width="9.50390625" style="80" customWidth="1"/>
    <col min="12" max="16384" width="8.00390625" style="80" customWidth="1"/>
  </cols>
  <sheetData>
    <row r="1" ht="17.25">
      <c r="A1" s="81" t="s">
        <v>0</v>
      </c>
    </row>
    <row r="2" spans="1:2" ht="17.25">
      <c r="A2" s="81"/>
      <c r="B2" s="82" t="s">
        <v>1</v>
      </c>
    </row>
    <row r="3" spans="1:11" ht="13.5">
      <c r="A3" s="83" t="s">
        <v>2</v>
      </c>
      <c r="B3" s="83"/>
      <c r="C3" s="84"/>
      <c r="D3" s="84"/>
      <c r="E3" s="84"/>
      <c r="F3" s="84"/>
      <c r="G3" s="85" t="s">
        <v>3</v>
      </c>
      <c r="H3" s="84"/>
      <c r="I3" s="84"/>
      <c r="J3" s="84"/>
      <c r="K3" s="84"/>
    </row>
    <row r="4" spans="1:11" ht="13.5">
      <c r="A4" s="83" t="s">
        <v>4</v>
      </c>
      <c r="B4" s="84"/>
      <c r="C4" s="84"/>
      <c r="D4" s="84"/>
      <c r="E4" s="84"/>
      <c r="F4" s="84"/>
      <c r="G4" s="85" t="s">
        <v>5</v>
      </c>
      <c r="H4" s="84"/>
      <c r="I4" s="84"/>
      <c r="J4" s="84"/>
      <c r="K4" s="84"/>
    </row>
    <row r="5" spans="1:11" ht="13.5">
      <c r="A5" s="83" t="s">
        <v>6</v>
      </c>
      <c r="B5" s="84"/>
      <c r="C5" s="84"/>
      <c r="D5" s="84"/>
      <c r="E5" s="84"/>
      <c r="F5" s="84"/>
      <c r="G5" s="85" t="s">
        <v>7</v>
      </c>
      <c r="H5" s="84"/>
      <c r="I5" s="84"/>
      <c r="J5" s="84"/>
      <c r="K5" s="84"/>
    </row>
    <row r="6" spans="1:11" ht="13.5">
      <c r="A6" s="84" t="s">
        <v>8</v>
      </c>
      <c r="G6" s="86"/>
      <c r="I6" s="84"/>
      <c r="J6" s="84"/>
      <c r="K6" s="84"/>
    </row>
    <row r="7" spans="1:11" ht="13.5">
      <c r="A7" s="84" t="s">
        <v>9</v>
      </c>
      <c r="B7" s="84"/>
      <c r="C7" s="84" t="s">
        <v>10</v>
      </c>
      <c r="D7" s="87">
        <f>D9-D8</f>
        <v>230</v>
      </c>
      <c r="E7" s="84" t="s">
        <v>11</v>
      </c>
      <c r="F7" s="88" t="s">
        <v>12</v>
      </c>
      <c r="G7" s="87">
        <f>D7</f>
        <v>230</v>
      </c>
      <c r="H7" s="84" t="s">
        <v>11</v>
      </c>
      <c r="I7" s="84" t="s">
        <v>13</v>
      </c>
      <c r="J7" s="84"/>
      <c r="K7" s="84"/>
    </row>
    <row r="8" spans="1:11" ht="13.5">
      <c r="A8" s="84" t="s">
        <v>14</v>
      </c>
      <c r="B8" s="84"/>
      <c r="C8" s="84" t="s">
        <v>15</v>
      </c>
      <c r="D8" s="89">
        <v>15</v>
      </c>
      <c r="E8" s="84" t="s">
        <v>11</v>
      </c>
      <c r="F8" s="90" t="s">
        <v>13</v>
      </c>
      <c r="G8" s="91">
        <f>G9-G7</f>
        <v>15</v>
      </c>
      <c r="H8" s="84" t="s">
        <v>11</v>
      </c>
      <c r="I8" s="84" t="s">
        <v>13</v>
      </c>
      <c r="J8" s="84"/>
      <c r="K8" s="84"/>
    </row>
    <row r="9" spans="1:12" ht="13.5">
      <c r="A9" s="84" t="s">
        <v>16</v>
      </c>
      <c r="B9" s="84"/>
      <c r="C9" s="84" t="s">
        <v>17</v>
      </c>
      <c r="D9" s="92">
        <v>245</v>
      </c>
      <c r="E9" s="90" t="s">
        <v>11</v>
      </c>
      <c r="F9" s="90" t="s">
        <v>13</v>
      </c>
      <c r="G9" s="91">
        <f>D9</f>
        <v>245</v>
      </c>
      <c r="H9" s="84" t="s">
        <v>11</v>
      </c>
      <c r="I9" s="106" t="s">
        <v>18</v>
      </c>
      <c r="J9" s="84"/>
      <c r="K9" s="106"/>
      <c r="L9" s="105"/>
    </row>
    <row r="10" spans="1:12" ht="13.5">
      <c r="A10" s="84" t="s">
        <v>19</v>
      </c>
      <c r="B10" s="84"/>
      <c r="C10" s="84" t="s">
        <v>20</v>
      </c>
      <c r="D10" s="92">
        <v>21.5</v>
      </c>
      <c r="E10" s="90" t="s">
        <v>21</v>
      </c>
      <c r="F10" s="90" t="s">
        <v>13</v>
      </c>
      <c r="G10" s="91">
        <f>D10</f>
        <v>21.5</v>
      </c>
      <c r="H10" s="84" t="s">
        <v>21</v>
      </c>
      <c r="I10" s="106" t="s">
        <v>18</v>
      </c>
      <c r="J10" s="107"/>
      <c r="K10" s="106"/>
      <c r="L10" s="105"/>
    </row>
    <row r="11" spans="1:12" ht="13.5">
      <c r="A11" s="84" t="s">
        <v>22</v>
      </c>
      <c r="B11" s="84"/>
      <c r="C11" s="84"/>
      <c r="D11" s="93">
        <f>D9*SIN(RADIANS(D10))-SQRT((D9*SIN(RADIANS(D10)))^2-(D9^2-(D9-D8)^2))</f>
        <v>59.170145042832615</v>
      </c>
      <c r="E11" s="93">
        <f>D9*SIN(RADIANS(D10))+SQRT((D9*SIN(RADIANS(D10)))^2-(D9^2-(D9-D8)^2))</f>
        <v>120.41545605207307</v>
      </c>
      <c r="F11" s="84" t="s">
        <v>23</v>
      </c>
      <c r="G11" s="93">
        <f>G9*SIN(RADIANS(G10))-SQRT((G9*SIN(RADIANS(G10)))^2-(G9^2-(G9-G8)^2))</f>
        <v>59.170145042832615</v>
      </c>
      <c r="H11" s="93">
        <f>G9*SIN(RADIANS(G10))+SQRT((G9*SIN(RADIANS(G10)))^2-(G9^2-(G9-G8)^2))</f>
        <v>120.41545605207307</v>
      </c>
      <c r="I11" s="84" t="s">
        <v>23</v>
      </c>
      <c r="J11" s="84"/>
      <c r="K11" s="106"/>
      <c r="L11" s="105"/>
    </row>
    <row r="12" spans="1:11" ht="13.5">
      <c r="A12" s="84" t="s">
        <v>24</v>
      </c>
      <c r="B12" s="84"/>
      <c r="C12" s="84"/>
      <c r="D12" s="88">
        <f>SIN($D$10*PI()/180)*$D$9</f>
        <v>89.79280054745283</v>
      </c>
      <c r="E12" s="88" t="s">
        <v>23</v>
      </c>
      <c r="F12" s="88" t="s">
        <v>25</v>
      </c>
      <c r="G12" s="94">
        <f>SIN($D$10*PI()/180)*$D$9</f>
        <v>89.79280054745283</v>
      </c>
      <c r="H12" s="84" t="s">
        <v>23</v>
      </c>
      <c r="I12" s="84"/>
      <c r="J12" s="84"/>
      <c r="K12" s="84"/>
    </row>
    <row r="13" spans="1:11" ht="13.5">
      <c r="A13" s="95" t="s">
        <v>26</v>
      </c>
      <c r="B13" s="83" t="s">
        <v>17</v>
      </c>
      <c r="C13" s="95" t="s">
        <v>27</v>
      </c>
      <c r="D13" s="83" t="s">
        <v>28</v>
      </c>
      <c r="E13" s="83"/>
      <c r="F13" s="83" t="s">
        <v>14</v>
      </c>
      <c r="G13" s="85" t="s">
        <v>29</v>
      </c>
      <c r="H13" s="83" t="s">
        <v>28</v>
      </c>
      <c r="I13" s="83"/>
      <c r="J13" s="83" t="s">
        <v>14</v>
      </c>
      <c r="K13" s="84"/>
    </row>
    <row r="14" spans="1:11" ht="13.5">
      <c r="A14" s="84">
        <f>A15+0.5</f>
        <v>2</v>
      </c>
      <c r="B14" s="84">
        <f aca="true" t="shared" si="0" ref="B14:B22">SQRT($D$9^2+A14^2+2*A14*SQRT($D$9^2-$D$12^2))</f>
        <v>246.86192338354326</v>
      </c>
      <c r="C14" s="96">
        <f aca="true" t="shared" si="1" ref="C14:C22">ASIN($D$12/B14)*180/PI()</f>
        <v>21.32987247246012</v>
      </c>
      <c r="D14" s="97">
        <f aca="true" t="shared" si="2" ref="D14:D22">B14*SIN(RADIANS(C14))-SQRT((B14*SIN(RADIANS(C14)))^2-(B14^2-$G$7^2))</f>
        <v>85.10901857854512</v>
      </c>
      <c r="E14" s="97">
        <f aca="true" t="shared" si="3" ref="E14:E22">B14*SIN(RADIANS(C14))+SQRT((B14*SIN(RADIANS(C14)))^2-(B14^2-$G$7^2))</f>
        <v>94.47658251636054</v>
      </c>
      <c r="F14" s="98">
        <f aca="true" t="shared" si="4" ref="F14:F22">B14-$G$7</f>
        <v>16.861923383543257</v>
      </c>
      <c r="G14" s="99">
        <f>G15-0.5</f>
        <v>228</v>
      </c>
      <c r="H14" s="97">
        <f aca="true" t="shared" si="5" ref="H14:H22">$G$9*SIN(RADIANS($G$10))-SQRT(($G$9*SIN(RADIANS($G$10)))^2-($G$9^2-G14^2))</f>
        <v>85.12942943262107</v>
      </c>
      <c r="I14" s="97">
        <f aca="true" t="shared" si="6" ref="I14:I22">$G$9*SIN(RADIANS($G$10))+SQRT(($G$9*SIN(RADIANS($G$10)))^2-($G$9^2-G14^2))</f>
        <v>94.45617166228462</v>
      </c>
      <c r="J14" s="98">
        <f aca="true" t="shared" si="7" ref="J14:J22">$G$9-G14</f>
        <v>17</v>
      </c>
      <c r="K14" s="84"/>
    </row>
    <row r="15" spans="1:11" ht="13.5">
      <c r="A15" s="84">
        <f>A16+0.5</f>
        <v>1.5</v>
      </c>
      <c r="B15" s="84">
        <f t="shared" si="0"/>
        <v>246.3962396475782</v>
      </c>
      <c r="C15" s="96">
        <f t="shared" si="1"/>
        <v>21.37216328302956</v>
      </c>
      <c r="D15" s="97">
        <f t="shared" si="2"/>
        <v>73.92963195830079</v>
      </c>
      <c r="E15" s="97">
        <f t="shared" si="3"/>
        <v>105.65596913660487</v>
      </c>
      <c r="F15" s="98">
        <f t="shared" si="4"/>
        <v>16.3962396475782</v>
      </c>
      <c r="G15" s="99">
        <f>G16-0.5</f>
        <v>228.5</v>
      </c>
      <c r="H15" s="97">
        <f t="shared" si="5"/>
        <v>73.981506161646</v>
      </c>
      <c r="I15" s="97">
        <f t="shared" si="6"/>
        <v>105.60409493325969</v>
      </c>
      <c r="J15" s="98">
        <f t="shared" si="7"/>
        <v>16.5</v>
      </c>
      <c r="K15" s="84"/>
    </row>
    <row r="16" spans="1:11" ht="13.5">
      <c r="A16" s="84">
        <f>A17+0.5</f>
        <v>1</v>
      </c>
      <c r="B16" s="84">
        <f t="shared" si="0"/>
        <v>245.93069065960677</v>
      </c>
      <c r="C16" s="96">
        <f t="shared" si="1"/>
        <v>21.414614230562023</v>
      </c>
      <c r="D16" s="93">
        <f t="shared" si="2"/>
        <v>67.86468111501067</v>
      </c>
      <c r="E16" s="93">
        <f t="shared" si="3"/>
        <v>111.72091997989499</v>
      </c>
      <c r="F16" s="98">
        <f t="shared" si="4"/>
        <v>15.930690659606768</v>
      </c>
      <c r="G16" s="99">
        <f>G17-0.5</f>
        <v>229</v>
      </c>
      <c r="H16" s="93">
        <f t="shared" si="5"/>
        <v>67.91251192607841</v>
      </c>
      <c r="I16" s="93">
        <f t="shared" si="6"/>
        <v>111.67308916882727</v>
      </c>
      <c r="J16" s="98">
        <f t="shared" si="7"/>
        <v>16</v>
      </c>
      <c r="K16" s="84"/>
    </row>
    <row r="17" spans="1:11" ht="13.5">
      <c r="A17" s="84">
        <f>A18+0.5</f>
        <v>0.5</v>
      </c>
      <c r="B17" s="84">
        <f t="shared" si="0"/>
        <v>245.4652771863173</v>
      </c>
      <c r="C17" s="96">
        <f t="shared" si="1"/>
        <v>21.45722617946431</v>
      </c>
      <c r="D17" s="97">
        <f t="shared" si="2"/>
        <v>63.155519792858954</v>
      </c>
      <c r="E17" s="97">
        <f t="shared" si="3"/>
        <v>116.4300813020467</v>
      </c>
      <c r="F17" s="98">
        <f t="shared" si="4"/>
        <v>15.465277186317309</v>
      </c>
      <c r="G17" s="99">
        <f>G18-0.5</f>
        <v>229.5</v>
      </c>
      <c r="H17" s="97">
        <f t="shared" si="5"/>
        <v>63.1845869630228</v>
      </c>
      <c r="I17" s="97">
        <f t="shared" si="6"/>
        <v>116.40101413188287</v>
      </c>
      <c r="J17" s="98">
        <f t="shared" si="7"/>
        <v>15.5</v>
      </c>
      <c r="K17" s="84"/>
    </row>
    <row r="18" spans="1:11" ht="13.5">
      <c r="A18" s="100">
        <v>0</v>
      </c>
      <c r="B18" s="100">
        <f t="shared" si="0"/>
        <v>245</v>
      </c>
      <c r="C18" s="101">
        <f t="shared" si="1"/>
        <v>21.5</v>
      </c>
      <c r="D18" s="102">
        <f t="shared" si="2"/>
        <v>59.170145042832615</v>
      </c>
      <c r="E18" s="102">
        <f t="shared" si="3"/>
        <v>120.41545605207307</v>
      </c>
      <c r="F18" s="103">
        <f t="shared" si="4"/>
        <v>15</v>
      </c>
      <c r="G18" s="100">
        <f>G9-G8</f>
        <v>230</v>
      </c>
      <c r="H18" s="102">
        <f t="shared" si="5"/>
        <v>59.170145042832615</v>
      </c>
      <c r="I18" s="102">
        <f t="shared" si="6"/>
        <v>120.41545605207307</v>
      </c>
      <c r="J18" s="103">
        <f t="shared" si="7"/>
        <v>15</v>
      </c>
      <c r="K18" s="84"/>
    </row>
    <row r="19" spans="1:11" ht="13.5">
      <c r="A19" s="84">
        <f>A18-0.5</f>
        <v>-0.5</v>
      </c>
      <c r="B19" s="84">
        <f t="shared" si="0"/>
        <v>244.53485987859565</v>
      </c>
      <c r="C19" s="96">
        <f t="shared" si="1"/>
        <v>21.542936568335328</v>
      </c>
      <c r="D19" s="104">
        <f t="shared" si="2"/>
        <v>55.65412256616254</v>
      </c>
      <c r="E19" s="104">
        <f t="shared" si="3"/>
        <v>123.93147852874314</v>
      </c>
      <c r="F19" s="98">
        <f t="shared" si="4"/>
        <v>14.534859878595654</v>
      </c>
      <c r="G19" s="99">
        <f>G18+0.5</f>
        <v>230.5</v>
      </c>
      <c r="H19" s="104">
        <f t="shared" si="5"/>
        <v>55.61682901547372</v>
      </c>
      <c r="I19" s="104">
        <f t="shared" si="6"/>
        <v>123.96877207943197</v>
      </c>
      <c r="J19" s="98">
        <f t="shared" si="7"/>
        <v>14.5</v>
      </c>
      <c r="K19" s="84"/>
    </row>
    <row r="20" spans="1:11" ht="13.5">
      <c r="A20" s="84">
        <f>A19-0.5</f>
        <v>-1</v>
      </c>
      <c r="B20" s="84">
        <f t="shared" si="0"/>
        <v>244.06985760574534</v>
      </c>
      <c r="C20" s="96">
        <f t="shared" si="1"/>
        <v>21.586036766585394</v>
      </c>
      <c r="D20" s="93">
        <f t="shared" si="2"/>
        <v>52.47455248479806</v>
      </c>
      <c r="E20" s="93">
        <f t="shared" si="3"/>
        <v>127.11104861010762</v>
      </c>
      <c r="F20" s="98">
        <f t="shared" si="4"/>
        <v>14.06985760574534</v>
      </c>
      <c r="G20" s="99">
        <f>G19+0.5</f>
        <v>231</v>
      </c>
      <c r="H20" s="93">
        <f t="shared" si="5"/>
        <v>52.39297394150923</v>
      </c>
      <c r="I20" s="93">
        <f t="shared" si="6"/>
        <v>127.19262715339644</v>
      </c>
      <c r="J20" s="98">
        <f t="shared" si="7"/>
        <v>14</v>
      </c>
      <c r="K20" s="84"/>
    </row>
    <row r="21" spans="1:11" ht="13.5">
      <c r="A21" s="84">
        <f>A20-0.5</f>
        <v>-1.5</v>
      </c>
      <c r="B21" s="84">
        <f t="shared" si="0"/>
        <v>243.60499397084047</v>
      </c>
      <c r="C21" s="96">
        <f t="shared" si="1"/>
        <v>21.62930148286081</v>
      </c>
      <c r="D21" s="93">
        <f t="shared" si="2"/>
        <v>49.551603465091794</v>
      </c>
      <c r="E21" s="93">
        <f t="shared" si="3"/>
        <v>130.03399762981385</v>
      </c>
      <c r="F21" s="98">
        <f t="shared" si="4"/>
        <v>13.604993970840468</v>
      </c>
      <c r="G21" s="99">
        <f>G20+0.5</f>
        <v>231.5</v>
      </c>
      <c r="H21" s="93">
        <f t="shared" si="5"/>
        <v>49.41957885095397</v>
      </c>
      <c r="I21" s="93">
        <f t="shared" si="6"/>
        <v>130.16602224395172</v>
      </c>
      <c r="J21" s="98">
        <f t="shared" si="7"/>
        <v>13.5</v>
      </c>
      <c r="K21" s="84"/>
    </row>
    <row r="22" spans="1:11" ht="13.5">
      <c r="A22" s="84">
        <f>A21-0.5</f>
        <v>-2</v>
      </c>
      <c r="B22" s="84">
        <f t="shared" si="0"/>
        <v>243.14026976907303</v>
      </c>
      <c r="C22" s="96">
        <f t="shared" si="1"/>
        <v>21.672731611314692</v>
      </c>
      <c r="D22" s="93">
        <f t="shared" si="2"/>
        <v>46.83286285223452</v>
      </c>
      <c r="E22" s="93">
        <f t="shared" si="3"/>
        <v>132.75273824267114</v>
      </c>
      <c r="F22" s="98">
        <f t="shared" si="4"/>
        <v>13.14026976907303</v>
      </c>
      <c r="G22" s="99">
        <f>G21+0.5</f>
        <v>232</v>
      </c>
      <c r="H22" s="93">
        <f t="shared" si="5"/>
        <v>46.644833849650645</v>
      </c>
      <c r="I22" s="93">
        <f t="shared" si="6"/>
        <v>132.94076724525505</v>
      </c>
      <c r="J22" s="98">
        <f t="shared" si="7"/>
        <v>13</v>
      </c>
      <c r="K22" s="84"/>
    </row>
    <row r="39" ht="13.5">
      <c r="B39" s="84" t="s">
        <v>30</v>
      </c>
    </row>
    <row r="40" ht="13.5">
      <c r="B40" s="83" t="s">
        <v>31</v>
      </c>
    </row>
    <row r="41" ht="13.5">
      <c r="B41" s="84" t="s">
        <v>32</v>
      </c>
    </row>
    <row r="42" ht="13.5">
      <c r="B42" s="84" t="s">
        <v>33</v>
      </c>
    </row>
    <row r="43" ht="13.5">
      <c r="B43" s="84" t="s">
        <v>34</v>
      </c>
    </row>
    <row r="44" ht="13.5">
      <c r="B44" s="84"/>
    </row>
    <row r="45" spans="1:8" ht="13.5">
      <c r="A45" s="83" t="s">
        <v>35</v>
      </c>
      <c r="F45" s="84" t="s">
        <v>36</v>
      </c>
      <c r="H45" s="105"/>
    </row>
    <row r="46" spans="2:8" ht="13.5">
      <c r="B46" s="106" t="s">
        <v>37</v>
      </c>
      <c r="C46" s="105"/>
      <c r="D46" s="107" t="s">
        <v>38</v>
      </c>
      <c r="E46" s="106"/>
      <c r="F46" s="106" t="s">
        <v>39</v>
      </c>
      <c r="G46" s="106" t="s">
        <v>40</v>
      </c>
      <c r="H46" s="105"/>
    </row>
    <row r="47" spans="2:8" ht="13.5">
      <c r="B47" s="83" t="s">
        <v>41</v>
      </c>
      <c r="D47" s="84">
        <v>9.5</v>
      </c>
      <c r="E47" s="84" t="s">
        <v>11</v>
      </c>
      <c r="F47" s="87">
        <v>7.5</v>
      </c>
      <c r="G47" s="87">
        <v>13</v>
      </c>
      <c r="H47" s="106" t="s">
        <v>42</v>
      </c>
    </row>
    <row r="48" spans="2:8" ht="13.5">
      <c r="B48" s="107" t="s">
        <v>9</v>
      </c>
      <c r="D48" s="108">
        <v>215.4</v>
      </c>
      <c r="E48" s="106" t="s">
        <v>11</v>
      </c>
      <c r="F48" s="109">
        <f>$D$48+F47-$D$47</f>
        <v>213.4</v>
      </c>
      <c r="G48" s="109">
        <f>$D$48+G47-$D$47</f>
        <v>218.9</v>
      </c>
      <c r="H48" s="106" t="s">
        <v>43</v>
      </c>
    </row>
    <row r="49" spans="2:9" ht="13.5">
      <c r="B49" s="106" t="s">
        <v>14</v>
      </c>
      <c r="D49" s="108">
        <f>D50-D48</f>
        <v>17.799999999999983</v>
      </c>
      <c r="E49" s="106" t="s">
        <v>11</v>
      </c>
      <c r="F49" s="110">
        <f>F50-F48</f>
        <v>17.96894185485695</v>
      </c>
      <c r="G49" s="110">
        <f>G50-G48</f>
        <v>17.510939475496116</v>
      </c>
      <c r="H49" s="105"/>
      <c r="I49" s="118"/>
    </row>
    <row r="50" spans="2:8" ht="13.5">
      <c r="B50" s="106" t="s">
        <v>16</v>
      </c>
      <c r="D50" s="111">
        <v>233.2</v>
      </c>
      <c r="E50" s="106" t="s">
        <v>11</v>
      </c>
      <c r="F50" s="110">
        <f>SQRT((SQRT($D$50^2-$D$52^2)+F47-$D$47)^2+$D$52^2)</f>
        <v>231.36894185485696</v>
      </c>
      <c r="G50" s="110">
        <f>SQRT((SQRT($D$50^2-$D$52^2)+G47-$D$47)^2+$D$52^2)</f>
        <v>236.41093947549612</v>
      </c>
      <c r="H50" s="105"/>
    </row>
    <row r="51" spans="2:8" ht="13.5">
      <c r="B51" s="106" t="s">
        <v>19</v>
      </c>
      <c r="D51" s="111">
        <v>23.62</v>
      </c>
      <c r="E51" s="106" t="s">
        <v>21</v>
      </c>
      <c r="F51" s="110">
        <f>ASIN(F52/F50)*180/PI()</f>
        <v>23.818442206347516</v>
      </c>
      <c r="G51" s="110">
        <f>ASIN(G52/G50)*180/PI()</f>
        <v>23.280131225241345</v>
      </c>
      <c r="H51" s="105"/>
    </row>
    <row r="52" spans="2:8" ht="13.5">
      <c r="B52" s="106" t="s">
        <v>44</v>
      </c>
      <c r="C52" s="112"/>
      <c r="D52" s="113">
        <f>SIN($D$51*PI()/180)*$D$50</f>
        <v>93.43598260500295</v>
      </c>
      <c r="E52" s="106" t="s">
        <v>23</v>
      </c>
      <c r="F52" s="114">
        <f>D52</f>
        <v>93.43598260500295</v>
      </c>
      <c r="G52" s="114">
        <f>D52</f>
        <v>93.43598260500295</v>
      </c>
      <c r="H52" s="105"/>
    </row>
    <row r="53" spans="2:7" ht="13.5">
      <c r="B53" s="106" t="s">
        <v>28</v>
      </c>
      <c r="D53" s="96">
        <f>D50*SIN(RADIANS(D51))-SQRT((D50*SIN(RADIANS(D51)))^2-(D50^2-D48^2))</f>
        <v>66.13757889045549</v>
      </c>
      <c r="E53" s="84" t="s">
        <v>11</v>
      </c>
      <c r="F53" s="96">
        <f>F50*SIN(RADIANS(F51))-SQRT((F50*SIN(RADIANS(F51)))^2-(F50^2-F48^2))</f>
        <v>66.26512339285736</v>
      </c>
      <c r="G53" s="96">
        <f>G50*SIN(RADIANS(G51))-SQRT((G50*SIN(RADIANS(G51)))^2-(G50^2-G48^2))</f>
        <v>65.91579834552307</v>
      </c>
    </row>
    <row r="54" spans="2:7" ht="13.5">
      <c r="B54" s="84"/>
      <c r="D54" s="96">
        <f>D50*SIN(RADIANS(D51))+SQRT((D50*SIN(RADIANS(D51)))^2-(D50^2-D48^2))</f>
        <v>120.73438631955041</v>
      </c>
      <c r="E54" s="84" t="s">
        <v>11</v>
      </c>
      <c r="F54" s="96">
        <f>F50*SIN(RADIANS(F51))+SQRT((F50*SIN(RADIANS(F51)))^2-(F50^2-F48^2))</f>
        <v>120.60684181714853</v>
      </c>
      <c r="G54" s="96">
        <f>G50*SIN(RADIANS(G51))+SQRT((G50*SIN(RADIANS(G51)))^2-(G50^2-G48^2))</f>
        <v>120.95616686448282</v>
      </c>
    </row>
    <row r="55" ht="13.5">
      <c r="B55" s="84" t="s">
        <v>45</v>
      </c>
    </row>
    <row r="56" ht="13.5">
      <c r="B56" s="84" t="s">
        <v>46</v>
      </c>
    </row>
    <row r="58" ht="13.5">
      <c r="B58" s="83" t="s">
        <v>47</v>
      </c>
    </row>
    <row r="59" ht="13.5">
      <c r="B59" s="84" t="s">
        <v>48</v>
      </c>
    </row>
    <row r="60" ht="13.5">
      <c r="B60" s="115" t="s">
        <v>49</v>
      </c>
    </row>
    <row r="61" ht="13.5">
      <c r="B61" s="115"/>
    </row>
    <row r="62" ht="13.5">
      <c r="A62" s="83" t="s">
        <v>50</v>
      </c>
    </row>
    <row r="63" spans="2:8" ht="13.5">
      <c r="B63" s="84" t="s">
        <v>51</v>
      </c>
      <c r="E63" s="116">
        <v>2.6</v>
      </c>
      <c r="F63" s="84" t="s">
        <v>52</v>
      </c>
      <c r="G63" s="117">
        <v>2.8</v>
      </c>
      <c r="H63" s="84" t="s">
        <v>53</v>
      </c>
    </row>
    <row r="64" spans="2:8" ht="13.5">
      <c r="B64" s="84" t="s">
        <v>54</v>
      </c>
      <c r="E64" s="116">
        <v>2.6</v>
      </c>
      <c r="F64" s="84" t="s">
        <v>52</v>
      </c>
      <c r="G64" s="117">
        <v>2.8</v>
      </c>
      <c r="H64" s="84" t="s">
        <v>55</v>
      </c>
    </row>
    <row r="65" spans="2:8" ht="13.5">
      <c r="B65" s="84" t="s">
        <v>56</v>
      </c>
      <c r="E65" s="116">
        <v>2.5</v>
      </c>
      <c r="F65" s="84" t="s">
        <v>52</v>
      </c>
      <c r="G65" s="117">
        <v>2.5</v>
      </c>
      <c r="H65" s="84" t="s">
        <v>57</v>
      </c>
    </row>
    <row r="66" spans="2:8" ht="13.5">
      <c r="B66" s="84" t="s">
        <v>58</v>
      </c>
      <c r="E66" s="119">
        <f>ATAN((2*(E63-E65)+2*(E64-E65))/12.7)*180/PI()</f>
        <v>1.8039951162005923</v>
      </c>
      <c r="F66" s="84" t="s">
        <v>21</v>
      </c>
      <c r="G66" s="120">
        <f>ATAN((2*(G63-G65)+2*(G64-G65))/12.7)*180/PI()</f>
        <v>5.397748776480395</v>
      </c>
      <c r="H66" s="84" t="s">
        <v>59</v>
      </c>
    </row>
    <row r="68" ht="13.5">
      <c r="A68" s="83" t="s">
        <v>60</v>
      </c>
    </row>
    <row r="69" ht="15"/>
    <row r="70" ht="15"/>
    <row r="71" ht="15"/>
    <row r="72" ht="15"/>
    <row r="73" ht="15"/>
    <row r="74" ht="15"/>
    <row r="75" ht="15"/>
    <row r="76" ht="15"/>
    <row r="77" ht="15"/>
    <row r="78" ht="15"/>
    <row r="79" ht="15"/>
    <row r="80" ht="15"/>
    <row r="81" ht="15"/>
    <row r="82" ht="15"/>
    <row r="83" ht="15"/>
    <row r="84" ht="15"/>
    <row r="85" ht="15"/>
    <row r="86" ht="15"/>
    <row r="87" ht="13.5">
      <c r="A87" s="84" t="s">
        <v>61</v>
      </c>
    </row>
    <row r="88" ht="13.5">
      <c r="A88" s="80" t="s">
        <v>62</v>
      </c>
    </row>
    <row r="89" ht="13.5">
      <c r="A89" s="80" t="s">
        <v>63</v>
      </c>
    </row>
    <row r="90" ht="13.5">
      <c r="A90" s="84" t="s">
        <v>64</v>
      </c>
    </row>
    <row r="91" ht="13.5">
      <c r="A91" s="84" t="s">
        <v>65</v>
      </c>
    </row>
    <row r="92" ht="13.5">
      <c r="A92" s="84" t="s">
        <v>66</v>
      </c>
    </row>
    <row r="93" ht="13.5">
      <c r="A93" s="84" t="s">
        <v>67</v>
      </c>
    </row>
    <row r="94" ht="13.5">
      <c r="A94" s="84" t="s">
        <v>68</v>
      </c>
    </row>
    <row r="95" ht="13.5">
      <c r="A95" s="84" t="s">
        <v>69</v>
      </c>
    </row>
    <row r="96" spans="1:5" ht="13.5">
      <c r="A96" s="84" t="s">
        <v>70</v>
      </c>
      <c r="D96" s="121">
        <v>90</v>
      </c>
      <c r="E96" s="84" t="s">
        <v>11</v>
      </c>
    </row>
    <row r="97" ht="13.5">
      <c r="A97" s="84" t="s">
        <v>71</v>
      </c>
    </row>
    <row r="98" spans="2:4" ht="13.5">
      <c r="B98" s="122" t="s">
        <v>72</v>
      </c>
      <c r="C98" s="123" t="s">
        <v>73</v>
      </c>
      <c r="D98" s="84"/>
    </row>
    <row r="99" spans="2:5" ht="13.5">
      <c r="B99" s="80">
        <f>D96</f>
        <v>90</v>
      </c>
      <c r="C99" s="80">
        <f>D96</f>
        <v>90</v>
      </c>
      <c r="E99" s="84" t="s">
        <v>74</v>
      </c>
    </row>
    <row r="100" spans="2:5" ht="13.5">
      <c r="B100" s="105">
        <f>B99-5</f>
        <v>85</v>
      </c>
      <c r="C100" s="105">
        <f>C99+5</f>
        <v>95</v>
      </c>
      <c r="D100" s="105"/>
      <c r="E100" s="105"/>
    </row>
    <row r="101" spans="2:5" ht="13.5">
      <c r="B101" s="105">
        <f aca="true" t="shared" si="8" ref="B101:B111">B100-5</f>
        <v>80</v>
      </c>
      <c r="C101" s="105">
        <f aca="true" t="shared" si="9" ref="C101:C111">C100+5</f>
        <v>100</v>
      </c>
      <c r="D101" s="105"/>
      <c r="E101" s="105"/>
    </row>
    <row r="102" spans="2:5" ht="13.5">
      <c r="B102" s="124">
        <f t="shared" si="8"/>
        <v>75</v>
      </c>
      <c r="C102" s="125">
        <f t="shared" si="9"/>
        <v>105</v>
      </c>
      <c r="D102" s="126" t="s">
        <v>75</v>
      </c>
      <c r="E102" s="106" t="s">
        <v>76</v>
      </c>
    </row>
    <row r="103" spans="2:4" ht="14.25">
      <c r="B103" s="127">
        <f t="shared" si="8"/>
        <v>70</v>
      </c>
      <c r="C103" s="128">
        <f t="shared" si="9"/>
        <v>110</v>
      </c>
      <c r="D103" s="129"/>
    </row>
    <row r="104" spans="2:4" ht="13.5">
      <c r="B104" s="130">
        <f t="shared" si="8"/>
        <v>65</v>
      </c>
      <c r="C104" s="131">
        <f t="shared" si="9"/>
        <v>115</v>
      </c>
      <c r="D104" s="129"/>
    </row>
    <row r="105" spans="2:5" ht="13.5">
      <c r="B105" s="132">
        <f t="shared" si="8"/>
        <v>60</v>
      </c>
      <c r="C105" s="133">
        <f t="shared" si="9"/>
        <v>120</v>
      </c>
      <c r="D105" s="129"/>
      <c r="E105" s="106" t="s">
        <v>77</v>
      </c>
    </row>
    <row r="106" spans="2:4" ht="14.25">
      <c r="B106" s="134">
        <f t="shared" si="8"/>
        <v>55</v>
      </c>
      <c r="C106" s="135">
        <f t="shared" si="9"/>
        <v>125</v>
      </c>
      <c r="D106" s="129"/>
    </row>
    <row r="107" spans="2:3" ht="13.5">
      <c r="B107" s="105">
        <f t="shared" si="8"/>
        <v>50</v>
      </c>
      <c r="C107" s="105">
        <f t="shared" si="9"/>
        <v>130</v>
      </c>
    </row>
    <row r="108" spans="2:3" ht="13.5">
      <c r="B108" s="105">
        <f t="shared" si="8"/>
        <v>45</v>
      </c>
      <c r="C108" s="105">
        <f t="shared" si="9"/>
        <v>135</v>
      </c>
    </row>
    <row r="109" spans="2:3" ht="13.5">
      <c r="B109" s="105">
        <f t="shared" si="8"/>
        <v>40</v>
      </c>
      <c r="C109" s="105">
        <f t="shared" si="9"/>
        <v>140</v>
      </c>
    </row>
    <row r="110" spans="2:3" ht="13.5">
      <c r="B110" s="105">
        <f t="shared" si="8"/>
        <v>35</v>
      </c>
      <c r="C110" s="105">
        <f t="shared" si="9"/>
        <v>145</v>
      </c>
    </row>
    <row r="111" spans="2:3" ht="13.5">
      <c r="B111" s="105">
        <f t="shared" si="8"/>
        <v>30</v>
      </c>
      <c r="C111" s="105">
        <f t="shared" si="9"/>
        <v>150</v>
      </c>
    </row>
    <row r="113" spans="1:12" ht="13.5">
      <c r="A113" s="136" t="s">
        <v>78</v>
      </c>
      <c r="B113" s="137"/>
      <c r="C113" s="137"/>
      <c r="D113" s="137"/>
      <c r="E113" s="137"/>
      <c r="F113" s="137"/>
      <c r="G113" s="137"/>
      <c r="H113" s="137"/>
      <c r="I113" s="137"/>
      <c r="J113" s="137"/>
      <c r="K113" s="137"/>
      <c r="L113" s="137"/>
    </row>
    <row r="114" spans="1:12" ht="14.25">
      <c r="A114" s="137"/>
      <c r="B114" s="138" t="s">
        <v>79</v>
      </c>
      <c r="C114" s="137"/>
      <c r="D114" s="137"/>
      <c r="E114" s="137"/>
      <c r="F114" s="137"/>
      <c r="G114" s="137"/>
      <c r="H114" s="137"/>
      <c r="I114" s="137"/>
      <c r="J114" s="137"/>
      <c r="K114" s="137"/>
      <c r="L114" s="137"/>
    </row>
    <row r="115" spans="1:12" ht="13.5">
      <c r="A115" s="137"/>
      <c r="B115" s="137"/>
      <c r="C115" s="137"/>
      <c r="D115" s="139" t="s">
        <v>80</v>
      </c>
      <c r="E115" s="140"/>
      <c r="F115" s="141">
        <v>66</v>
      </c>
      <c r="G115" s="142" t="s">
        <v>11</v>
      </c>
      <c r="H115" s="137"/>
      <c r="I115" s="161" t="s">
        <v>81</v>
      </c>
      <c r="J115" s="161"/>
      <c r="K115" s="161"/>
      <c r="L115" s="137"/>
    </row>
    <row r="116" spans="1:13" ht="13.5">
      <c r="A116" s="137"/>
      <c r="B116" s="137"/>
      <c r="C116" s="137"/>
      <c r="D116" s="143" t="s">
        <v>82</v>
      </c>
      <c r="E116" s="144"/>
      <c r="F116" s="145">
        <v>120</v>
      </c>
      <c r="G116" s="146" t="s">
        <v>11</v>
      </c>
      <c r="H116" s="137"/>
      <c r="I116" s="137" t="s">
        <v>83</v>
      </c>
      <c r="J116" s="137"/>
      <c r="L116" s="137">
        <v>88.873</v>
      </c>
      <c r="M116" s="137" t="s">
        <v>11</v>
      </c>
    </row>
    <row r="117" spans="1:13" ht="14.25">
      <c r="A117" s="137"/>
      <c r="B117" s="137"/>
      <c r="C117" s="137"/>
      <c r="D117" s="147" t="s">
        <v>84</v>
      </c>
      <c r="E117" s="148"/>
      <c r="F117" s="149">
        <f>(F115+F116)/2</f>
        <v>93</v>
      </c>
      <c r="G117" s="150" t="s">
        <v>11</v>
      </c>
      <c r="H117" s="137"/>
      <c r="I117" s="137" t="s">
        <v>85</v>
      </c>
      <c r="J117" s="137"/>
      <c r="L117" s="137">
        <v>93.445</v>
      </c>
      <c r="M117" s="137" t="s">
        <v>11</v>
      </c>
    </row>
    <row r="118" spans="1:13" ht="13.5">
      <c r="A118" s="137"/>
      <c r="B118" s="138" t="s">
        <v>86</v>
      </c>
      <c r="C118" s="137"/>
      <c r="D118" s="144"/>
      <c r="E118" s="144"/>
      <c r="F118" s="151"/>
      <c r="G118" s="144"/>
      <c r="H118" s="137"/>
      <c r="I118" s="137"/>
      <c r="J118" s="137"/>
      <c r="L118" s="137"/>
      <c r="M118" s="137"/>
    </row>
    <row r="119" spans="2:12" ht="13.5">
      <c r="B119" s="152">
        <v>240</v>
      </c>
      <c r="C119" s="153">
        <f aca="true" t="shared" si="10" ref="C119:C152">SQRT(B119^2-$F$115*$F$116)</f>
        <v>222.8901074520805</v>
      </c>
      <c r="D119" s="153">
        <f>B119-C119</f>
        <v>17.109892547919486</v>
      </c>
      <c r="E119" s="154">
        <f>DEGREES(ASIN($F$117/B119))</f>
        <v>22.79903127188881</v>
      </c>
      <c r="F119" s="155"/>
      <c r="G119" s="152">
        <v>222.89</v>
      </c>
      <c r="H119" s="153">
        <f aca="true" t="shared" si="11" ref="H119:H152">SQRT(G119^2+$F$115*$F$116)</f>
        <v>239.99990020831257</v>
      </c>
      <c r="I119" s="153">
        <f>H119-G119</f>
        <v>17.10990020831258</v>
      </c>
      <c r="J119" s="153">
        <f>DEGREES(ASIN($F$117/H119))</f>
        <v>22.799041285901055</v>
      </c>
      <c r="K119" s="137"/>
      <c r="L119" s="137"/>
    </row>
    <row r="120" spans="1:12" ht="13.5">
      <c r="A120" s="137"/>
      <c r="B120" s="156" t="s">
        <v>16</v>
      </c>
      <c r="C120" s="137" t="s">
        <v>87</v>
      </c>
      <c r="D120" s="137" t="s">
        <v>14</v>
      </c>
      <c r="E120" s="137" t="s">
        <v>19</v>
      </c>
      <c r="F120" s="137"/>
      <c r="G120" s="157" t="s">
        <v>87</v>
      </c>
      <c r="H120" s="137" t="s">
        <v>88</v>
      </c>
      <c r="I120" s="137" t="s">
        <v>14</v>
      </c>
      <c r="J120" s="137" t="s">
        <v>19</v>
      </c>
      <c r="K120" s="137"/>
      <c r="L120" s="137"/>
    </row>
    <row r="121" spans="1:12" ht="13.5">
      <c r="A121" s="137"/>
      <c r="B121" s="158">
        <v>208</v>
      </c>
      <c r="C121" s="159">
        <f t="shared" si="10"/>
        <v>188</v>
      </c>
      <c r="D121" s="159">
        <f aca="true" t="shared" si="12" ref="D121:D152">B121-C121</f>
        <v>20</v>
      </c>
      <c r="E121" s="159">
        <f aca="true" t="shared" si="13" ref="E121:E152">DEGREES(ASIN($F$117/B121))</f>
        <v>26.55876009514613</v>
      </c>
      <c r="F121" s="137"/>
      <c r="G121" s="160">
        <v>178</v>
      </c>
      <c r="H121" s="159">
        <f t="shared" si="11"/>
        <v>199.00753754569197</v>
      </c>
      <c r="I121" s="159">
        <f>H121-G121</f>
        <v>21.007537545691974</v>
      </c>
      <c r="J121" s="159">
        <f aca="true" t="shared" si="14" ref="J121:J152">DEGREES(ASIN($F$117/H121))</f>
        <v>27.86040616517944</v>
      </c>
      <c r="K121" s="137"/>
      <c r="L121" s="137"/>
    </row>
    <row r="122" spans="1:12" ht="13.5">
      <c r="A122" s="137"/>
      <c r="B122" s="158">
        <v>209</v>
      </c>
      <c r="C122" s="159">
        <f t="shared" si="10"/>
        <v>189.10579049833456</v>
      </c>
      <c r="D122" s="159">
        <f t="shared" si="12"/>
        <v>19.894209501665443</v>
      </c>
      <c r="E122" s="159">
        <f t="shared" si="13"/>
        <v>26.421808161159827</v>
      </c>
      <c r="F122" s="137"/>
      <c r="G122" s="160">
        <v>179</v>
      </c>
      <c r="H122" s="159">
        <f t="shared" si="11"/>
        <v>199.90247622278218</v>
      </c>
      <c r="I122" s="159">
        <f>H122-G122</f>
        <v>20.902476222782184</v>
      </c>
      <c r="J122" s="159">
        <f t="shared" si="14"/>
        <v>27.724904598119313</v>
      </c>
      <c r="K122" s="137"/>
      <c r="L122" s="137"/>
    </row>
    <row r="123" spans="1:12" ht="13.5">
      <c r="A123" s="137"/>
      <c r="B123" s="158">
        <v>210</v>
      </c>
      <c r="C123" s="159">
        <f t="shared" si="10"/>
        <v>190.2104098097683</v>
      </c>
      <c r="D123" s="159">
        <f t="shared" si="12"/>
        <v>19.789590190231706</v>
      </c>
      <c r="E123" s="159">
        <f t="shared" si="13"/>
        <v>26.286320683384744</v>
      </c>
      <c r="F123" s="137"/>
      <c r="G123" s="160">
        <v>180</v>
      </c>
      <c r="H123" s="159">
        <f t="shared" si="11"/>
        <v>200.79840636817812</v>
      </c>
      <c r="I123" s="159">
        <f>H123-G123</f>
        <v>20.79840636817812</v>
      </c>
      <c r="J123" s="159">
        <f t="shared" si="14"/>
        <v>27.59062900297901</v>
      </c>
      <c r="K123" s="137"/>
      <c r="L123" s="137"/>
    </row>
    <row r="124" spans="1:12" ht="13.5">
      <c r="A124" s="137"/>
      <c r="B124" s="158">
        <v>211</v>
      </c>
      <c r="C124" s="159">
        <f t="shared" si="10"/>
        <v>191.31387822110554</v>
      </c>
      <c r="D124" s="159">
        <f t="shared" si="12"/>
        <v>19.68612177889446</v>
      </c>
      <c r="E124" s="159">
        <f t="shared" si="13"/>
        <v>26.1522732769888</v>
      </c>
      <c r="F124" s="137"/>
      <c r="G124" s="160">
        <v>181</v>
      </c>
      <c r="H124" s="159">
        <f t="shared" si="11"/>
        <v>201.6953147695801</v>
      </c>
      <c r="I124" s="159">
        <f aca="true" t="shared" si="15" ref="I124:I183">H124-G124</f>
        <v>20.695314769580108</v>
      </c>
      <c r="J124" s="159">
        <f t="shared" si="14"/>
        <v>27.45756398270402</v>
      </c>
      <c r="K124" s="137"/>
      <c r="L124" s="137"/>
    </row>
    <row r="125" spans="1:12" ht="13.5">
      <c r="A125" s="137"/>
      <c r="B125" s="158">
        <v>212</v>
      </c>
      <c r="C125" s="159">
        <f t="shared" si="10"/>
        <v>192.4162155328911</v>
      </c>
      <c r="D125" s="159">
        <f t="shared" si="12"/>
        <v>19.5837844671089</v>
      </c>
      <c r="E125" s="159">
        <f t="shared" si="13"/>
        <v>26.019642119044423</v>
      </c>
      <c r="F125" s="137"/>
      <c r="G125" s="160">
        <v>182</v>
      </c>
      <c r="H125" s="159">
        <f t="shared" si="11"/>
        <v>202.59318843435975</v>
      </c>
      <c r="I125" s="159">
        <f t="shared" si="15"/>
        <v>20.593188434359746</v>
      </c>
      <c r="J125" s="159">
        <f t="shared" si="14"/>
        <v>27.325694376008634</v>
      </c>
      <c r="K125" s="137"/>
      <c r="L125" s="137"/>
    </row>
    <row r="126" spans="1:12" ht="13.5">
      <c r="A126" s="137"/>
      <c r="B126" s="158">
        <v>213</v>
      </c>
      <c r="C126" s="159">
        <f t="shared" si="10"/>
        <v>193.51744107444165</v>
      </c>
      <c r="D126" s="159">
        <f t="shared" si="12"/>
        <v>19.48255892555835</v>
      </c>
      <c r="E126" s="159">
        <f t="shared" si="13"/>
        <v>25.888403931759335</v>
      </c>
      <c r="F126" s="137"/>
      <c r="G126" s="160">
        <v>183</v>
      </c>
      <c r="H126" s="159">
        <f t="shared" si="11"/>
        <v>203.49201458533943</v>
      </c>
      <c r="I126" s="159">
        <f t="shared" si="15"/>
        <v>20.492014585339433</v>
      </c>
      <c r="J126" s="159">
        <f t="shared" si="14"/>
        <v>27.195005253346892</v>
      </c>
      <c r="K126" s="137"/>
      <c r="L126" s="137"/>
    </row>
    <row r="127" spans="1:12" ht="13.5">
      <c r="A127" s="137"/>
      <c r="B127" s="158">
        <v>214</v>
      </c>
      <c r="C127" s="159">
        <f t="shared" si="10"/>
        <v>194.6175737183053</v>
      </c>
      <c r="D127" s="159">
        <f t="shared" si="12"/>
        <v>19.382426281694705</v>
      </c>
      <c r="E127" s="159">
        <f t="shared" si="13"/>
        <v>25.758535966327706</v>
      </c>
      <c r="F127" s="137"/>
      <c r="G127" s="160">
        <v>184</v>
      </c>
      <c r="H127" s="159">
        <f t="shared" si="11"/>
        <v>204.39178065665948</v>
      </c>
      <c r="I127" s="159">
        <f t="shared" si="15"/>
        <v>20.391780656659478</v>
      </c>
      <c r="J127" s="159">
        <f t="shared" si="14"/>
        <v>27.065481912953594</v>
      </c>
      <c r="K127" s="137"/>
      <c r="L127" s="137"/>
    </row>
    <row r="128" spans="1:12" ht="13.5">
      <c r="A128" s="137"/>
      <c r="B128" s="158">
        <v>215</v>
      </c>
      <c r="C128" s="159">
        <f t="shared" si="10"/>
        <v>195.716631894175</v>
      </c>
      <c r="D128" s="159">
        <f t="shared" si="12"/>
        <v>19.28336810582499</v>
      </c>
      <c r="E128" s="159">
        <f t="shared" si="13"/>
        <v>25.63001598737388</v>
      </c>
      <c r="F128" s="137"/>
      <c r="G128" s="160">
        <v>185</v>
      </c>
      <c r="H128" s="159">
        <f t="shared" si="11"/>
        <v>205.29247428973133</v>
      </c>
      <c r="I128" s="159">
        <f t="shared" si="15"/>
        <v>20.29247428973133</v>
      </c>
      <c r="J128" s="159">
        <f t="shared" si="14"/>
        <v>26.937109876954363</v>
      </c>
      <c r="K128" s="137"/>
      <c r="L128" s="137"/>
    </row>
    <row r="129" spans="1:12" ht="13.5">
      <c r="A129" s="137"/>
      <c r="B129" s="158">
        <v>216</v>
      </c>
      <c r="C129" s="159">
        <f t="shared" si="10"/>
        <v>196.8146336022807</v>
      </c>
      <c r="D129" s="159">
        <f t="shared" si="12"/>
        <v>19.185366397719292</v>
      </c>
      <c r="E129" s="159">
        <f t="shared" si="13"/>
        <v>25.502822257962812</v>
      </c>
      <c r="F129" s="137"/>
      <c r="G129" s="160">
        <v>186</v>
      </c>
      <c r="H129" s="159">
        <f t="shared" si="11"/>
        <v>206.194083329275</v>
      </c>
      <c r="I129" s="159">
        <f t="shared" si="15"/>
        <v>20.194083329275003</v>
      </c>
      <c r="J129" s="159">
        <f t="shared" si="14"/>
        <v>26.80987488754368</v>
      </c>
      <c r="K129" s="137"/>
      <c r="L129" s="137"/>
    </row>
    <row r="130" spans="1:12" ht="13.5">
      <c r="A130" s="137"/>
      <c r="B130" s="158">
        <v>217</v>
      </c>
      <c r="C130" s="159">
        <f t="shared" si="10"/>
        <v>197.9115964262832</v>
      </c>
      <c r="D130" s="159">
        <f t="shared" si="12"/>
        <v>19.08840357371679</v>
      </c>
      <c r="E130" s="159">
        <f t="shared" si="13"/>
        <v>25.376933525152303</v>
      </c>
      <c r="F130" s="137"/>
      <c r="G130" s="160">
        <v>187</v>
      </c>
      <c r="H130" s="159">
        <f t="shared" si="11"/>
        <v>207.09659581943882</v>
      </c>
      <c r="I130" s="159">
        <f t="shared" si="15"/>
        <v>20.096595819438818</v>
      </c>
      <c r="J130" s="159">
        <f t="shared" si="14"/>
        <v>26.683762903229898</v>
      </c>
      <c r="K130" s="137"/>
      <c r="L130" s="137"/>
    </row>
    <row r="131" spans="1:12" ht="13.5">
      <c r="A131" s="137"/>
      <c r="B131" s="158">
        <v>218</v>
      </c>
      <c r="C131" s="159">
        <f t="shared" si="10"/>
        <v>199.00753754569197</v>
      </c>
      <c r="D131" s="159">
        <f t="shared" si="12"/>
        <v>18.992462454308026</v>
      </c>
      <c r="E131" s="159">
        <f t="shared" si="13"/>
        <v>25.25232900606369</v>
      </c>
      <c r="F131" s="137"/>
      <c r="G131" s="160">
        <v>188</v>
      </c>
      <c r="H131" s="159">
        <f t="shared" si="11"/>
        <v>208</v>
      </c>
      <c r="I131" s="159">
        <f t="shared" si="15"/>
        <v>20</v>
      </c>
      <c r="J131" s="159">
        <f t="shared" si="14"/>
        <v>26.55876009514613</v>
      </c>
      <c r="K131" s="137"/>
      <c r="L131" s="137"/>
    </row>
    <row r="132" spans="1:12" ht="13.5">
      <c r="A132" s="137"/>
      <c r="B132" s="158">
        <v>219</v>
      </c>
      <c r="C132" s="159">
        <f t="shared" si="10"/>
        <v>200.1024737478275</v>
      </c>
      <c r="D132" s="159">
        <f t="shared" si="12"/>
        <v>18.897526252172497</v>
      </c>
      <c r="E132" s="159">
        <f t="shared" si="13"/>
        <v>25.12898837444851</v>
      </c>
      <c r="F132" s="137"/>
      <c r="G132" s="160">
        <v>189</v>
      </c>
      <c r="H132" s="159">
        <f t="shared" si="11"/>
        <v>208.90428430264421</v>
      </c>
      <c r="I132" s="159">
        <f t="shared" si="15"/>
        <v>19.904284302644214</v>
      </c>
      <c r="J132" s="159">
        <f t="shared" si="14"/>
        <v>26.43485284342608</v>
      </c>
      <c r="K132" s="137"/>
      <c r="L132" s="137"/>
    </row>
    <row r="133" spans="1:12" ht="13.5">
      <c r="A133" s="137"/>
      <c r="B133" s="158">
        <v>220</v>
      </c>
      <c r="C133" s="159">
        <f t="shared" si="10"/>
        <v>201.19642143934865</v>
      </c>
      <c r="D133" s="159">
        <f t="shared" si="12"/>
        <v>18.803578560651346</v>
      </c>
      <c r="E133" s="159">
        <f t="shared" si="13"/>
        <v>25.00689174773013</v>
      </c>
      <c r="F133" s="137"/>
      <c r="G133" s="160">
        <v>190</v>
      </c>
      <c r="H133" s="159">
        <f t="shared" si="11"/>
        <v>209.8094373473224</v>
      </c>
      <c r="I133" s="159">
        <f t="shared" si="15"/>
        <v>19.809437347322387</v>
      </c>
      <c r="J133" s="159">
        <f t="shared" si="14"/>
        <v>26.312027733643717</v>
      </c>
      <c r="K133" s="137"/>
      <c r="L133" s="137"/>
    </row>
    <row r="134" spans="1:12" ht="13.5">
      <c r="A134" s="137"/>
      <c r="B134" s="158">
        <v>221</v>
      </c>
      <c r="C134" s="159">
        <f t="shared" si="10"/>
        <v>202.28939665736314</v>
      </c>
      <c r="D134" s="159">
        <f t="shared" si="12"/>
        <v>18.71060334263686</v>
      </c>
      <c r="E134" s="159">
        <f t="shared" si="13"/>
        <v>24.886019674500133</v>
      </c>
      <c r="F134" s="137"/>
      <c r="G134" s="160">
        <v>191</v>
      </c>
      <c r="H134" s="159">
        <f t="shared" si="11"/>
        <v>210.7154479386834</v>
      </c>
      <c r="I134" s="159">
        <f t="shared" si="15"/>
        <v>19.71544793868341</v>
      </c>
      <c r="J134" s="159">
        <f t="shared" si="14"/>
        <v>26.19027155331585</v>
      </c>
      <c r="K134" s="137"/>
      <c r="L134" s="137"/>
    </row>
    <row r="135" spans="1:12" ht="13.5">
      <c r="A135" s="137"/>
      <c r="B135" s="158">
        <v>222</v>
      </c>
      <c r="C135" s="159">
        <f t="shared" si="10"/>
        <v>203.3814150801395</v>
      </c>
      <c r="D135" s="159">
        <f t="shared" si="12"/>
        <v>18.618584919860496</v>
      </c>
      <c r="E135" s="159">
        <f t="shared" si="13"/>
        <v>24.76635312245037</v>
      </c>
      <c r="F135" s="137"/>
      <c r="G135" s="160">
        <v>192</v>
      </c>
      <c r="H135" s="159">
        <f t="shared" si="11"/>
        <v>211.62230506258078</v>
      </c>
      <c r="I135" s="159">
        <f t="shared" si="15"/>
        <v>19.62230506258078</v>
      </c>
      <c r="J135" s="159">
        <f t="shared" si="14"/>
        <v>26.069571288466538</v>
      </c>
      <c r="K135" s="137"/>
      <c r="L135" s="137"/>
    </row>
    <row r="136" spans="1:12" ht="13.5">
      <c r="A136" s="137"/>
      <c r="B136" s="158">
        <v>223</v>
      </c>
      <c r="C136" s="159">
        <f t="shared" si="10"/>
        <v>204.47249203743763</v>
      </c>
      <c r="D136" s="159">
        <f t="shared" si="12"/>
        <v>18.527507962562368</v>
      </c>
      <c r="E136" s="159">
        <f t="shared" si="13"/>
        <v>24.647873466722462</v>
      </c>
      <c r="F136" s="137"/>
      <c r="G136" s="160">
        <v>193</v>
      </c>
      <c r="H136" s="159">
        <f t="shared" si="11"/>
        <v>212.52999788265186</v>
      </c>
      <c r="I136" s="159">
        <f t="shared" si="15"/>
        <v>19.529997882651855</v>
      </c>
      <c r="J136" s="159">
        <f t="shared" si="14"/>
        <v>25.94991412025241</v>
      </c>
      <c r="K136" s="137"/>
      <c r="L136" s="137"/>
    </row>
    <row r="137" spans="1:12" ht="13.5">
      <c r="A137" s="137"/>
      <c r="B137" s="158">
        <v>224</v>
      </c>
      <c r="C137" s="159">
        <f t="shared" si="10"/>
        <v>205.56264252047356</v>
      </c>
      <c r="D137" s="159">
        <f t="shared" si="12"/>
        <v>18.43735747952644</v>
      </c>
      <c r="E137" s="159">
        <f t="shared" si="13"/>
        <v>24.53056247865753</v>
      </c>
      <c r="F137" s="137"/>
      <c r="G137" s="160">
        <v>194</v>
      </c>
      <c r="H137" s="159">
        <f t="shared" si="11"/>
        <v>213.43851573696816</v>
      </c>
      <c r="I137" s="159">
        <f t="shared" si="15"/>
        <v>19.438515736968156</v>
      </c>
      <c r="J137" s="159">
        <f t="shared" si="14"/>
        <v>25.8312874216478</v>
      </c>
      <c r="K137" s="137"/>
      <c r="L137" s="137"/>
    </row>
    <row r="138" spans="1:12" ht="13.5">
      <c r="A138" s="137"/>
      <c r="B138" s="158">
        <v>225</v>
      </c>
      <c r="C138" s="159">
        <f t="shared" si="10"/>
        <v>206.65188119153427</v>
      </c>
      <c r="D138" s="159">
        <f t="shared" si="12"/>
        <v>18.348118808465728</v>
      </c>
      <c r="E138" s="159">
        <f t="shared" si="13"/>
        <v>24.414402314929568</v>
      </c>
      <c r="F138" s="137"/>
      <c r="G138" s="160">
        <v>195</v>
      </c>
      <c r="H138" s="159">
        <f t="shared" si="11"/>
        <v>214.34784813475503</v>
      </c>
      <c r="I138" s="159">
        <f t="shared" si="15"/>
        <v>19.347848134755026</v>
      </c>
      <c r="J138" s="159">
        <f t="shared" si="14"/>
        <v>25.71367875418891</v>
      </c>
      <c r="K138" s="137"/>
      <c r="L138" s="137"/>
    </row>
    <row r="139" spans="1:12" ht="13.5">
      <c r="A139" s="137"/>
      <c r="B139" s="158">
        <v>226</v>
      </c>
      <c r="C139" s="159">
        <f t="shared" si="10"/>
        <v>207.74022239325728</v>
      </c>
      <c r="D139" s="159">
        <f t="shared" si="12"/>
        <v>18.259777606742716</v>
      </c>
      <c r="E139" s="159">
        <f t="shared" si="13"/>
        <v>24.29937550704696</v>
      </c>
      <c r="F139" s="137"/>
      <c r="G139" s="160">
        <v>196</v>
      </c>
      <c r="H139" s="159">
        <f t="shared" si="11"/>
        <v>215.25798475317936</v>
      </c>
      <c r="I139" s="159">
        <f t="shared" si="15"/>
        <v>19.257984753179358</v>
      </c>
      <c r="J139" s="159">
        <f t="shared" si="14"/>
        <v>25.597075864775796</v>
      </c>
      <c r="K139" s="137"/>
      <c r="L139" s="137"/>
    </row>
    <row r="140" spans="1:12" ht="13.5">
      <c r="A140" s="137"/>
      <c r="B140" s="158">
        <v>227</v>
      </c>
      <c r="C140" s="159">
        <f t="shared" si="10"/>
        <v>208.8276801575883</v>
      </c>
      <c r="D140" s="159">
        <f t="shared" si="12"/>
        <v>18.172319842411696</v>
      </c>
      <c r="E140" s="159">
        <f t="shared" si="13"/>
        <v>24.18546495120704</v>
      </c>
      <c r="F140" s="137"/>
      <c r="G140" s="160">
        <v>197</v>
      </c>
      <c r="H140" s="159">
        <f t="shared" si="11"/>
        <v>216.1689154342039</v>
      </c>
      <c r="I140" s="159">
        <f t="shared" si="15"/>
        <v>19.16891543420391</v>
      </c>
      <c r="J140" s="159">
        <f t="shared" si="14"/>
        <v>25.481466682531423</v>
      </c>
      <c r="K140" s="137"/>
      <c r="L140" s="137"/>
    </row>
    <row r="141" spans="1:12" ht="13.5">
      <c r="A141" s="137"/>
      <c r="B141" s="158">
        <v>228</v>
      </c>
      <c r="C141" s="159">
        <f t="shared" si="10"/>
        <v>209.91426821443082</v>
      </c>
      <c r="D141" s="159">
        <f t="shared" si="12"/>
        <v>18.08573178556918</v>
      </c>
      <c r="E141" s="159">
        <f t="shared" si="13"/>
        <v>24.072653898489634</v>
      </c>
      <c r="F141" s="137"/>
      <c r="G141" s="160">
        <v>198</v>
      </c>
      <c r="H141" s="159">
        <f t="shared" si="11"/>
        <v>217.08063018150654</v>
      </c>
      <c r="I141" s="159">
        <f t="shared" si="15"/>
        <v>19.080630181506535</v>
      </c>
      <c r="J141" s="159">
        <f t="shared" si="14"/>
        <v>25.36683931571673</v>
      </c>
      <c r="K141" s="137"/>
      <c r="L141" s="137"/>
    </row>
    <row r="142" spans="1:12" ht="13.5">
      <c r="A142" s="137"/>
      <c r="B142" s="158">
        <v>229</v>
      </c>
      <c r="C142" s="159">
        <f t="shared" si="10"/>
        <v>211</v>
      </c>
      <c r="D142" s="159">
        <f t="shared" si="12"/>
        <v>18</v>
      </c>
      <c r="E142" s="159">
        <f t="shared" si="13"/>
        <v>23.96092594537596</v>
      </c>
      <c r="F142" s="137"/>
      <c r="G142" s="160">
        <v>199</v>
      </c>
      <c r="H142" s="159">
        <f t="shared" si="11"/>
        <v>217.99311915746333</v>
      </c>
      <c r="I142" s="159">
        <f t="shared" si="15"/>
        <v>18.993119157463326</v>
      </c>
      <c r="J142" s="159">
        <f t="shared" si="14"/>
        <v>25.253182048700808</v>
      </c>
      <c r="K142" s="137"/>
      <c r="L142" s="137"/>
    </row>
    <row r="143" spans="1:12" ht="13.5">
      <c r="A143" s="137"/>
      <c r="B143" s="158">
        <v>230</v>
      </c>
      <c r="C143" s="159">
        <f t="shared" si="10"/>
        <v>212.08488866489287</v>
      </c>
      <c r="D143" s="159">
        <f t="shared" si="12"/>
        <v>17.915111335107127</v>
      </c>
      <c r="E143" s="159">
        <f t="shared" si="13"/>
        <v>23.85026502457995</v>
      </c>
      <c r="F143" s="137"/>
      <c r="G143" s="160">
        <v>200</v>
      </c>
      <c r="H143" s="159">
        <f t="shared" si="11"/>
        <v>218.90637268019404</v>
      </c>
      <c r="I143" s="159">
        <f t="shared" si="15"/>
        <v>18.90637268019404</v>
      </c>
      <c r="J143" s="159">
        <f t="shared" si="14"/>
        <v>25.140483338985234</v>
      </c>
      <c r="K143" s="137"/>
      <c r="L143" s="137"/>
    </row>
    <row r="144" spans="1:12" ht="13.5">
      <c r="A144" s="137"/>
      <c r="B144" s="158">
        <v>231</v>
      </c>
      <c r="C144" s="159">
        <f t="shared" si="10"/>
        <v>213.16894708188622</v>
      </c>
      <c r="D144" s="159">
        <f t="shared" si="12"/>
        <v>17.831052918113784</v>
      </c>
      <c r="E144" s="159">
        <f t="shared" si="13"/>
        <v>23.740655396179797</v>
      </c>
      <c r="F144" s="137"/>
      <c r="G144" s="160">
        <v>201</v>
      </c>
      <c r="H144" s="159">
        <f t="shared" si="11"/>
        <v>219.82038122066842</v>
      </c>
      <c r="I144" s="159">
        <f t="shared" si="15"/>
        <v>18.820381220668423</v>
      </c>
      <c r="J144" s="159">
        <f t="shared" si="14"/>
        <v>25.028731814281674</v>
      </c>
      <c r="K144" s="137"/>
      <c r="L144" s="137"/>
    </row>
    <row r="145" spans="1:12" ht="13.5">
      <c r="A145" s="137"/>
      <c r="B145" s="158">
        <v>232</v>
      </c>
      <c r="C145" s="159">
        <f t="shared" si="10"/>
        <v>214.25218785347326</v>
      </c>
      <c r="D145" s="159">
        <f t="shared" si="12"/>
        <v>17.74781214652674</v>
      </c>
      <c r="E145" s="159">
        <f t="shared" si="13"/>
        <v>23.632081639037807</v>
      </c>
      <c r="F145" s="137"/>
      <c r="G145" s="160">
        <v>202</v>
      </c>
      <c r="H145" s="159">
        <f t="shared" si="11"/>
        <v>220.7351353998724</v>
      </c>
      <c r="I145" s="159">
        <f t="shared" si="15"/>
        <v>18.735135399872405</v>
      </c>
      <c r="J145" s="159">
        <f t="shared" si="14"/>
        <v>24.917916269641843</v>
      </c>
      <c r="K145" s="137"/>
      <c r="L145" s="137"/>
    </row>
    <row r="146" spans="1:12" ht="13.5">
      <c r="A146" s="137"/>
      <c r="B146" s="158">
        <v>233</v>
      </c>
      <c r="C146" s="159">
        <f t="shared" si="10"/>
        <v>215.3346233191495</v>
      </c>
      <c r="D146" s="159">
        <f t="shared" si="12"/>
        <v>17.6653766808505</v>
      </c>
      <c r="E146" s="159">
        <f t="shared" si="13"/>
        <v>23.524528642497526</v>
      </c>
      <c r="F146" s="137"/>
      <c r="G146" s="160">
        <v>203</v>
      </c>
      <c r="H146" s="159">
        <f t="shared" si="11"/>
        <v>221.65062598603234</v>
      </c>
      <c r="I146" s="159">
        <f t="shared" si="15"/>
        <v>18.65062598603234</v>
      </c>
      <c r="J146" s="159">
        <f t="shared" si="14"/>
        <v>24.808025664638922</v>
      </c>
      <c r="K146" s="137"/>
      <c r="L146" s="137"/>
    </row>
    <row r="147" spans="1:12" ht="13.5">
      <c r="A147" s="137"/>
      <c r="B147" s="158">
        <v>234</v>
      </c>
      <c r="C147" s="159">
        <f t="shared" si="10"/>
        <v>216.4162655624572</v>
      </c>
      <c r="D147" s="159">
        <f t="shared" si="12"/>
        <v>17.5837344375428</v>
      </c>
      <c r="E147" s="159">
        <f t="shared" si="13"/>
        <v>23.41798159834727</v>
      </c>
      <c r="F147" s="137"/>
      <c r="G147" s="160">
        <v>204</v>
      </c>
      <c r="H147" s="159">
        <f t="shared" si="11"/>
        <v>222.5668438918969</v>
      </c>
      <c r="I147" s="159">
        <f t="shared" si="15"/>
        <v>18.566843891896895</v>
      </c>
      <c r="J147" s="159">
        <f t="shared" si="14"/>
        <v>24.699049120599526</v>
      </c>
      <c r="K147" s="137"/>
      <c r="L147" s="137"/>
    </row>
    <row r="148" spans="1:12" ht="13.5">
      <c r="A148" s="137"/>
      <c r="B148" s="158">
        <v>235</v>
      </c>
      <c r="C148" s="159">
        <f t="shared" si="10"/>
        <v>217.4971264177989</v>
      </c>
      <c r="D148" s="159">
        <f t="shared" si="12"/>
        <v>17.50287358220109</v>
      </c>
      <c r="E148" s="159">
        <f t="shared" si="13"/>
        <v>23.31242599304</v>
      </c>
      <c r="F148" s="137"/>
      <c r="G148" s="160">
        <v>205</v>
      </c>
      <c r="H148" s="159">
        <f t="shared" si="11"/>
        <v>223.48378017207423</v>
      </c>
      <c r="I148" s="159">
        <f t="shared" si="15"/>
        <v>18.483780172074233</v>
      </c>
      <c r="J148" s="159">
        <f t="shared" si="14"/>
        <v>24.590975917885377</v>
      </c>
      <c r="K148" s="137"/>
      <c r="L148" s="137"/>
    </row>
    <row r="149" spans="1:12" ht="13.5">
      <c r="A149" s="137"/>
      <c r="B149" s="158">
        <v>236</v>
      </c>
      <c r="C149" s="159">
        <f t="shared" si="10"/>
        <v>218.577217477028</v>
      </c>
      <c r="D149" s="159">
        <f t="shared" si="12"/>
        <v>17.422782522972</v>
      </c>
      <c r="E149" s="159">
        <f t="shared" si="13"/>
        <v>23.207847600159628</v>
      </c>
      <c r="F149" s="137"/>
      <c r="G149" s="160">
        <v>206</v>
      </c>
      <c r="H149" s="159">
        <f t="shared" si="11"/>
        <v>224.4014260204244</v>
      </c>
      <c r="I149" s="159">
        <f t="shared" si="15"/>
        <v>18.401426020424395</v>
      </c>
      <c r="J149" s="159">
        <f t="shared" si="14"/>
        <v>24.483795493223823</v>
      </c>
      <c r="K149" s="137"/>
      <c r="L149" s="137"/>
    </row>
    <row r="150" spans="1:12" ht="13.5">
      <c r="A150" s="137"/>
      <c r="B150" s="158">
        <v>237</v>
      </c>
      <c r="C150" s="159">
        <f t="shared" si="10"/>
        <v>219.65655009582574</v>
      </c>
      <c r="D150" s="159">
        <f t="shared" si="12"/>
        <v>17.343449904174264</v>
      </c>
      <c r="E150" s="159">
        <f t="shared" si="13"/>
        <v>23.10423247312453</v>
      </c>
      <c r="F150" s="137"/>
      <c r="G150" s="160">
        <v>207</v>
      </c>
      <c r="H150" s="159">
        <f t="shared" si="11"/>
        <v>225.31977276750482</v>
      </c>
      <c r="I150" s="159">
        <f t="shared" si="15"/>
        <v>18.319772767504816</v>
      </c>
      <c r="J150" s="159">
        <f t="shared" si="14"/>
        <v>24.37749743708634</v>
      </c>
      <c r="K150" s="137"/>
      <c r="L150" s="137"/>
    </row>
    <row r="151" spans="1:12" ht="13.5">
      <c r="A151" s="137"/>
      <c r="B151" s="158">
        <v>238</v>
      </c>
      <c r="C151" s="159">
        <f t="shared" si="10"/>
        <v>220.7351353998724</v>
      </c>
      <c r="D151" s="159">
        <f t="shared" si="12"/>
        <v>17.264864600127595</v>
      </c>
      <c r="E151" s="159">
        <f t="shared" si="13"/>
        <v>23.00156693811933</v>
      </c>
      <c r="F151" s="137"/>
      <c r="G151" s="160">
        <v>208</v>
      </c>
      <c r="H151" s="159">
        <f t="shared" si="11"/>
        <v>226.23881187806836</v>
      </c>
      <c r="I151" s="159">
        <f t="shared" si="15"/>
        <v>18.23881187806836</v>
      </c>
      <c r="J151" s="159">
        <f t="shared" si="14"/>
        <v>24.272071491114136</v>
      </c>
      <c r="K151" s="137"/>
      <c r="L151" s="137"/>
    </row>
    <row r="152" spans="1:12" ht="13.5">
      <c r="A152" s="137"/>
      <c r="B152" s="158">
        <v>239</v>
      </c>
      <c r="C152" s="159">
        <f t="shared" si="10"/>
        <v>221.812984290821</v>
      </c>
      <c r="D152" s="159">
        <f t="shared" si="12"/>
        <v>17.187015709179008</v>
      </c>
      <c r="E152" s="159">
        <f t="shared" si="13"/>
        <v>22.899837587246374</v>
      </c>
      <c r="F152" s="137"/>
      <c r="G152" s="160">
        <v>209</v>
      </c>
      <c r="H152" s="159">
        <f t="shared" si="11"/>
        <v>227.1585349486125</v>
      </c>
      <c r="I152" s="159">
        <f t="shared" si="15"/>
        <v>18.1585349486125</v>
      </c>
      <c r="J152" s="159">
        <f t="shared" si="14"/>
        <v>24.167507545590116</v>
      </c>
      <c r="K152" s="137"/>
      <c r="L152" s="137"/>
    </row>
    <row r="153" spans="1:12" ht="13.5">
      <c r="A153" s="137"/>
      <c r="B153" s="158">
        <v>240</v>
      </c>
      <c r="C153" s="159">
        <f aca="true" t="shared" si="16" ref="C153:C183">SQRT(B153^2-$F$115*$F$116)</f>
        <v>222.8901074520805</v>
      </c>
      <c r="D153" s="159">
        <f aca="true" t="shared" si="17" ref="D153:D183">B153-C153</f>
        <v>17.109892547919486</v>
      </c>
      <c r="E153" s="159">
        <f aca="true" t="shared" si="18" ref="E153:E183">DEGREES(ASIN($F$117/B153))</f>
        <v>22.79903127188881</v>
      </c>
      <c r="F153" s="137"/>
      <c r="G153" s="160">
        <v>210</v>
      </c>
      <c r="H153" s="159">
        <f aca="true" t="shared" si="19" ref="H153:H183">SQRT(G153^2+$F$115*$F$116)</f>
        <v>228.07893370497854</v>
      </c>
      <c r="I153" s="159">
        <f t="shared" si="15"/>
        <v>18.07893370497854</v>
      </c>
      <c r="J153" s="159">
        <f aca="true" t="shared" si="20" ref="J153:J183">DEGREES(ASIN($F$117/H153))</f>
        <v>24.063795636956296</v>
      </c>
      <c r="K153" s="137"/>
      <c r="L153" s="137"/>
    </row>
    <row r="154" spans="1:12" ht="13.5">
      <c r="A154" s="137"/>
      <c r="B154" s="158">
        <v>241</v>
      </c>
      <c r="C154" s="159">
        <f t="shared" si="16"/>
        <v>223.96651535441632</v>
      </c>
      <c r="D154" s="159">
        <f t="shared" si="17"/>
        <v>17.033484645583684</v>
      </c>
      <c r="E154" s="159">
        <f t="shared" si="18"/>
        <v>22.699135096277452</v>
      </c>
      <c r="F154" s="137"/>
      <c r="G154" s="160">
        <v>211</v>
      </c>
      <c r="H154" s="159">
        <f t="shared" si="19"/>
        <v>229</v>
      </c>
      <c r="I154" s="159">
        <f t="shared" si="15"/>
        <v>18</v>
      </c>
      <c r="J154" s="159">
        <f t="shared" si="20"/>
        <v>23.96092594537596</v>
      </c>
      <c r="K154" s="137"/>
      <c r="L154" s="137"/>
    </row>
    <row r="155" spans="1:12" ht="13.5">
      <c r="A155" s="137"/>
      <c r="B155" s="158">
        <v>242</v>
      </c>
      <c r="C155" s="159">
        <f t="shared" si="16"/>
        <v>225.04221826137425</v>
      </c>
      <c r="D155" s="159">
        <f t="shared" si="17"/>
        <v>16.957781738625755</v>
      </c>
      <c r="E155" s="159">
        <f t="shared" si="18"/>
        <v>22.60013641125388</v>
      </c>
      <c r="F155" s="137"/>
      <c r="G155" s="160">
        <v>212</v>
      </c>
      <c r="H155" s="159">
        <f t="shared" si="19"/>
        <v>229.92172581119863</v>
      </c>
      <c r="I155" s="159">
        <f t="shared" si="15"/>
        <v>17.921725811198627</v>
      </c>
      <c r="J155" s="159">
        <f t="shared" si="20"/>
        <v>23.85888879233965</v>
      </c>
      <c r="K155" s="137"/>
      <c r="L155" s="137"/>
    </row>
    <row r="156" spans="1:12" ht="13.5">
      <c r="A156" s="137"/>
      <c r="B156" s="158">
        <v>243</v>
      </c>
      <c r="C156" s="159">
        <f t="shared" si="16"/>
        <v>226.11722623453525</v>
      </c>
      <c r="D156" s="159">
        <f t="shared" si="17"/>
        <v>16.882773765464748</v>
      </c>
      <c r="E156" s="159">
        <f t="shared" si="18"/>
        <v>22.502022808222822</v>
      </c>
      <c r="F156" s="137"/>
      <c r="G156" s="160">
        <v>213</v>
      </c>
      <c r="H156" s="159">
        <f t="shared" si="19"/>
        <v>230.84410323852762</v>
      </c>
      <c r="I156" s="159">
        <f t="shared" si="15"/>
        <v>17.844103238527623</v>
      </c>
      <c r="J156" s="159">
        <f t="shared" si="20"/>
        <v>23.7576746383143</v>
      </c>
      <c r="K156" s="137"/>
      <c r="L156" s="137"/>
    </row>
    <row r="157" spans="1:12" ht="13.5">
      <c r="A157" s="137"/>
      <c r="B157" s="158">
        <v>244</v>
      </c>
      <c r="C157" s="159">
        <f t="shared" si="16"/>
        <v>227.19154913860683</v>
      </c>
      <c r="D157" s="159">
        <f t="shared" si="17"/>
        <v>16.80845086139317</v>
      </c>
      <c r="E157" s="159">
        <f t="shared" si="18"/>
        <v>22.404782113286743</v>
      </c>
      <c r="F157" s="137"/>
      <c r="G157" s="160">
        <v>214</v>
      </c>
      <c r="H157" s="159">
        <f t="shared" si="19"/>
        <v>231.76712450216058</v>
      </c>
      <c r="I157" s="159">
        <f t="shared" si="15"/>
        <v>17.767124502160584</v>
      </c>
      <c r="J157" s="159">
        <f t="shared" si="20"/>
        <v>23.657274080434707</v>
      </c>
      <c r="K157" s="137"/>
      <c r="L157" s="137"/>
    </row>
    <row r="158" spans="1:12" ht="13.5">
      <c r="A158" s="137"/>
      <c r="B158" s="158">
        <v>245</v>
      </c>
      <c r="C158" s="159">
        <f t="shared" si="16"/>
        <v>228.26519664635694</v>
      </c>
      <c r="D158" s="159">
        <f t="shared" si="17"/>
        <v>16.73480335364306</v>
      </c>
      <c r="E158" s="159">
        <f t="shared" si="18"/>
        <v>22.30840238155624</v>
      </c>
      <c r="F158" s="137"/>
      <c r="G158" s="160">
        <v>215</v>
      </c>
      <c r="H158" s="159">
        <f t="shared" si="19"/>
        <v>232.69078194032525</v>
      </c>
      <c r="I158" s="159">
        <f t="shared" si="15"/>
        <v>17.69078194032525</v>
      </c>
      <c r="J158" s="159">
        <f t="shared" si="20"/>
        <v>23.557677850236555</v>
      </c>
      <c r="K158" s="137"/>
      <c r="L158" s="137"/>
    </row>
    <row r="159" spans="1:12" ht="13.5">
      <c r="A159" s="137"/>
      <c r="B159" s="158">
        <v>246</v>
      </c>
      <c r="C159" s="159">
        <f t="shared" si="16"/>
        <v>229.3381782433967</v>
      </c>
      <c r="D159" s="159">
        <f t="shared" si="17"/>
        <v>16.661821756603302</v>
      </c>
      <c r="E159" s="159">
        <f t="shared" si="18"/>
        <v>22.21287189162993</v>
      </c>
      <c r="F159" s="137"/>
      <c r="G159" s="160">
        <v>216</v>
      </c>
      <c r="H159" s="159">
        <f t="shared" si="19"/>
        <v>233.6150680071814</v>
      </c>
      <c r="I159" s="159">
        <f t="shared" si="15"/>
        <v>17.615068007181407</v>
      </c>
      <c r="J159" s="159">
        <f t="shared" si="20"/>
        <v>23.45887681143028</v>
      </c>
      <c r="K159" s="137"/>
      <c r="L159" s="137"/>
    </row>
    <row r="160" spans="1:12" ht="13.5">
      <c r="A160" s="137"/>
      <c r="B160" s="158">
        <v>247</v>
      </c>
      <c r="C160" s="159">
        <f t="shared" si="16"/>
        <v>230.41050323281706</v>
      </c>
      <c r="D160" s="159">
        <f t="shared" si="17"/>
        <v>16.589496767182936</v>
      </c>
      <c r="E160" s="159">
        <f t="shared" si="18"/>
        <v>22.11817914023779</v>
      </c>
      <c r="F160" s="137"/>
      <c r="G160" s="160">
        <v>217</v>
      </c>
      <c r="H160" s="159">
        <f t="shared" si="19"/>
        <v>234.53997527074142</v>
      </c>
      <c r="I160" s="159">
        <f t="shared" si="15"/>
        <v>17.539975270741422</v>
      </c>
      <c r="J160" s="159">
        <f t="shared" si="20"/>
        <v>23.36086195771503</v>
      </c>
      <c r="K160" s="137"/>
      <c r="L160" s="137"/>
    </row>
    <row r="161" spans="1:12" ht="13.5">
      <c r="A161" s="137"/>
      <c r="B161" s="158">
        <v>248</v>
      </c>
      <c r="C161" s="159">
        <f t="shared" si="16"/>
        <v>231.4821807396846</v>
      </c>
      <c r="D161" s="159">
        <f t="shared" si="17"/>
        <v>16.517819260315406</v>
      </c>
      <c r="E161" s="159">
        <f t="shared" si="18"/>
        <v>22.024312837042164</v>
      </c>
      <c r="F161" s="137"/>
      <c r="G161" s="160">
        <v>218</v>
      </c>
      <c r="H161" s="159">
        <f t="shared" si="19"/>
        <v>235.46549641083297</v>
      </c>
      <c r="I161" s="159">
        <f t="shared" si="15"/>
        <v>17.46549641083297</v>
      </c>
      <c r="J161" s="159">
        <f t="shared" si="20"/>
        <v>23.263624410631987</v>
      </c>
      <c r="K161" s="137"/>
      <c r="L161" s="137"/>
    </row>
    <row r="162" spans="1:12" ht="13.5">
      <c r="A162" s="137"/>
      <c r="B162" s="158">
        <v>249</v>
      </c>
      <c r="C162" s="159">
        <f t="shared" si="16"/>
        <v>232.55321971540192</v>
      </c>
      <c r="D162" s="159">
        <f t="shared" si="17"/>
        <v>16.446780284598077</v>
      </c>
      <c r="E162" s="159">
        <f t="shared" si="18"/>
        <v>21.93126189959097</v>
      </c>
      <c r="F162" s="137"/>
      <c r="G162" s="160">
        <v>219</v>
      </c>
      <c r="H162" s="159">
        <f t="shared" si="19"/>
        <v>236.39162421710293</v>
      </c>
      <c r="I162" s="159">
        <f t="shared" si="15"/>
        <v>17.39162421710293</v>
      </c>
      <c r="J162" s="159">
        <f t="shared" si="20"/>
        <v>23.16715541745629</v>
      </c>
      <c r="K162" s="137"/>
      <c r="L162" s="137"/>
    </row>
    <row r="163" spans="1:12" ht="13.5">
      <c r="A163" s="137"/>
      <c r="B163" s="158">
        <v>250</v>
      </c>
      <c r="C163" s="159">
        <f t="shared" si="16"/>
        <v>233.62362894193728</v>
      </c>
      <c r="D163" s="159">
        <f t="shared" si="17"/>
        <v>16.376371058062716</v>
      </c>
      <c r="E163" s="159">
        <f t="shared" si="18"/>
        <v>21.839015448417747</v>
      </c>
      <c r="F163" s="137"/>
      <c r="G163" s="160">
        <v>220</v>
      </c>
      <c r="H163" s="159">
        <f t="shared" si="19"/>
        <v>237.31835158706122</v>
      </c>
      <c r="I163" s="159">
        <f t="shared" si="15"/>
        <v>17.318351587061215</v>
      </c>
      <c r="J163" s="159">
        <f t="shared" si="20"/>
        <v>23.071446349127008</v>
      </c>
      <c r="K163" s="137"/>
      <c r="L163" s="137"/>
    </row>
    <row r="164" spans="1:12" ht="13.5">
      <c r="A164" s="137"/>
      <c r="B164" s="158">
        <v>251</v>
      </c>
      <c r="C164" s="159">
        <f t="shared" si="16"/>
        <v>234.69341703592795</v>
      </c>
      <c r="D164" s="159">
        <f t="shared" si="17"/>
        <v>16.30658296407205</v>
      </c>
      <c r="E164" s="159">
        <f t="shared" si="18"/>
        <v>21.747562802283433</v>
      </c>
      <c r="F164" s="137"/>
      <c r="G164" s="160">
        <v>221</v>
      </c>
      <c r="H164" s="159">
        <f t="shared" si="19"/>
        <v>238.24567152416432</v>
      </c>
      <c r="I164" s="159">
        <f t="shared" si="15"/>
        <v>17.245671524164322</v>
      </c>
      <c r="J164" s="159">
        <f t="shared" si="20"/>
        <v>22.97648869821421</v>
      </c>
      <c r="K164" s="137"/>
      <c r="L164" s="137"/>
    </row>
    <row r="165" spans="1:12" ht="13.5">
      <c r="A165" s="137"/>
      <c r="B165" s="158">
        <v>252</v>
      </c>
      <c r="C165" s="159">
        <f t="shared" si="16"/>
        <v>235.762592452662</v>
      </c>
      <c r="D165" s="159">
        <f t="shared" si="17"/>
        <v>16.237407547337995</v>
      </c>
      <c r="E165" s="159">
        <f t="shared" si="18"/>
        <v>21.65689347355506</v>
      </c>
      <c r="F165" s="137"/>
      <c r="G165" s="160">
        <v>222</v>
      </c>
      <c r="H165" s="159">
        <f t="shared" si="19"/>
        <v>239.173577135937</v>
      </c>
      <c r="I165" s="159">
        <f t="shared" si="15"/>
        <v>17.173577135936995</v>
      </c>
      <c r="J165" s="159">
        <f t="shared" si="20"/>
        <v>22.882274076922762</v>
      </c>
      <c r="K165" s="137"/>
      <c r="L165" s="137"/>
    </row>
    <row r="166" spans="1:12" ht="13.5">
      <c r="A166" s="137"/>
      <c r="B166" s="158">
        <v>253</v>
      </c>
      <c r="C166" s="159">
        <f t="shared" si="16"/>
        <v>236.83116348994275</v>
      </c>
      <c r="D166" s="159">
        <f t="shared" si="17"/>
        <v>16.168836510057247</v>
      </c>
      <c r="E166" s="159">
        <f t="shared" si="18"/>
        <v>21.566997163716614</v>
      </c>
      <c r="F166" s="137"/>
      <c r="G166" s="160">
        <v>223</v>
      </c>
      <c r="H166" s="159">
        <f t="shared" si="19"/>
        <v>240.10206163213175</v>
      </c>
      <c r="I166" s="159">
        <f t="shared" si="15"/>
        <v>17.10206163213175</v>
      </c>
      <c r="J166" s="159">
        <f t="shared" si="20"/>
        <v>22.78879421513189</v>
      </c>
      <c r="K166" s="137"/>
      <c r="L166" s="137"/>
    </row>
    <row r="167" spans="1:12" ht="13.5">
      <c r="A167" s="137"/>
      <c r="B167" s="158">
        <v>254</v>
      </c>
      <c r="C167" s="159">
        <f t="shared" si="16"/>
        <v>237.89913829183996</v>
      </c>
      <c r="D167" s="159">
        <f t="shared" si="17"/>
        <v>16.10086170816004</v>
      </c>
      <c r="E167" s="159">
        <f t="shared" si="18"/>
        <v>21.477863759007604</v>
      </c>
      <c r="F167" s="137"/>
      <c r="G167" s="160">
        <v>224</v>
      </c>
      <c r="H167" s="159">
        <f t="shared" si="19"/>
        <v>241.03111832292527</v>
      </c>
      <c r="I167" s="159">
        <f t="shared" si="15"/>
        <v>17.031118322925266</v>
      </c>
      <c r="J167" s="159">
        <f t="shared" si="20"/>
        <v>22.696040958470075</v>
      </c>
      <c r="K167" s="137"/>
      <c r="L167" s="137"/>
    </row>
    <row r="168" spans="1:12" ht="13.5">
      <c r="A168" s="137"/>
      <c r="B168" s="158">
        <v>255</v>
      </c>
      <c r="C168" s="159">
        <f t="shared" si="16"/>
        <v>238.96652485233156</v>
      </c>
      <c r="D168" s="159">
        <f t="shared" si="17"/>
        <v>16.03347514766844</v>
      </c>
      <c r="E168" s="159">
        <f t="shared" si="18"/>
        <v>21.389483326184934</v>
      </c>
      <c r="F168" s="137"/>
      <c r="G168" s="160">
        <v>225</v>
      </c>
      <c r="H168" s="159">
        <f t="shared" si="19"/>
        <v>241.96074061715052</v>
      </c>
      <c r="I168" s="159">
        <f t="shared" si="15"/>
        <v>16.96074061715052</v>
      </c>
      <c r="J168" s="159">
        <f t="shared" si="20"/>
        <v>22.60400626642447</v>
      </c>
      <c r="K168" s="137"/>
      <c r="L168" s="137"/>
    </row>
    <row r="169" spans="1:12" ht="13.5">
      <c r="A169" s="137"/>
      <c r="B169" s="158">
        <v>256</v>
      </c>
      <c r="C169" s="159">
        <f t="shared" si="16"/>
        <v>240.03333101883996</v>
      </c>
      <c r="D169" s="159">
        <f t="shared" si="17"/>
        <v>15.96666898116004</v>
      </c>
      <c r="E169" s="159">
        <f t="shared" si="18"/>
        <v>21.301846108404053</v>
      </c>
      <c r="F169" s="137"/>
      <c r="G169" s="160">
        <v>226</v>
      </c>
      <c r="H169" s="159">
        <f t="shared" si="19"/>
        <v>242.8909220205646</v>
      </c>
      <c r="I169" s="159">
        <f t="shared" si="15"/>
        <v>16.890922020564602</v>
      </c>
      <c r="J169" s="159">
        <f t="shared" si="20"/>
        <v>22.51268221048432</v>
      </c>
      <c r="K169" s="137"/>
      <c r="L169" s="137"/>
    </row>
    <row r="170" spans="1:12" ht="13.5">
      <c r="A170" s="137"/>
      <c r="B170" s="158">
        <v>257</v>
      </c>
      <c r="C170" s="159">
        <f t="shared" si="16"/>
        <v>241.09956449566639</v>
      </c>
      <c r="D170" s="159">
        <f t="shared" si="17"/>
        <v>15.900435504333615</v>
      </c>
      <c r="E170" s="159">
        <f t="shared" si="18"/>
        <v>21.214942521215267</v>
      </c>
      <c r="F170" s="137"/>
      <c r="G170" s="160">
        <v>227</v>
      </c>
      <c r="H170" s="159">
        <f t="shared" si="19"/>
        <v>243.82165613415063</v>
      </c>
      <c r="I170" s="159">
        <f t="shared" si="15"/>
        <v>16.82165613415063</v>
      </c>
      <c r="J170" s="159">
        <f t="shared" si="20"/>
        <v>22.422060972317666</v>
      </c>
      <c r="K170" s="137"/>
      <c r="L170" s="137"/>
    </row>
    <row r="171" spans="1:12" ht="13.5">
      <c r="A171" s="137"/>
      <c r="B171" s="158">
        <v>258</v>
      </c>
      <c r="C171" s="159">
        <f t="shared" si="16"/>
        <v>242.1652328473268</v>
      </c>
      <c r="D171" s="159">
        <f t="shared" si="17"/>
        <v>15.834767152673209</v>
      </c>
      <c r="E171" s="159">
        <f t="shared" si="18"/>
        <v>21.12876314867146</v>
      </c>
      <c r="F171" s="137"/>
      <c r="G171" s="160">
        <v>228</v>
      </c>
      <c r="H171" s="159">
        <f t="shared" si="19"/>
        <v>244.75293665245368</v>
      </c>
      <c r="I171" s="159">
        <f t="shared" si="15"/>
        <v>16.752936652453684</v>
      </c>
      <c r="J171" s="159">
        <f t="shared" si="20"/>
        <v>22.332134841980768</v>
      </c>
      <c r="K171" s="137"/>
      <c r="L171" s="137"/>
    </row>
    <row r="172" spans="1:12" ht="13.5">
      <c r="A172" s="137"/>
      <c r="B172" s="158">
        <v>259</v>
      </c>
      <c r="C172" s="159">
        <f t="shared" si="16"/>
        <v>243.23034350179256</v>
      </c>
      <c r="D172" s="159">
        <f t="shared" si="17"/>
        <v>15.76965649820744</v>
      </c>
      <c r="E172" s="159">
        <f t="shared" si="18"/>
        <v>21.04329873954351</v>
      </c>
      <c r="F172" s="137"/>
      <c r="G172" s="160">
        <v>229</v>
      </c>
      <c r="H172" s="159">
        <f t="shared" si="19"/>
        <v>245.6847573619495</v>
      </c>
      <c r="I172" s="159">
        <f t="shared" si="15"/>
        <v>16.684757361949494</v>
      </c>
      <c r="J172" s="159">
        <f t="shared" si="20"/>
        <v>22.242896216159664</v>
      </c>
      <c r="K172" s="137"/>
      <c r="L172" s="137"/>
    </row>
    <row r="173" spans="1:12" ht="13.5">
      <c r="A173" s="137"/>
      <c r="B173" s="158">
        <v>260</v>
      </c>
      <c r="C173" s="159">
        <f t="shared" si="16"/>
        <v>244.29490375363952</v>
      </c>
      <c r="D173" s="159">
        <f t="shared" si="17"/>
        <v>15.705096246360483</v>
      </c>
      <c r="E173" s="159">
        <f t="shared" si="18"/>
        <v>20.958540203639807</v>
      </c>
      <c r="F173" s="137"/>
      <c r="G173" s="160">
        <v>230</v>
      </c>
      <c r="H173" s="159">
        <f t="shared" si="19"/>
        <v>246.61711213944582</v>
      </c>
      <c r="I173" s="159">
        <f t="shared" si="15"/>
        <v>16.617112139445823</v>
      </c>
      <c r="J173" s="159">
        <f t="shared" si="20"/>
        <v>22.154337596443145</v>
      </c>
      <c r="K173" s="137"/>
      <c r="L173" s="137"/>
    </row>
    <row r="174" spans="1:12" ht="13.5">
      <c r="A174" s="137"/>
      <c r="B174" s="158">
        <v>261</v>
      </c>
      <c r="C174" s="159">
        <f t="shared" si="16"/>
        <v>245.35892076710803</v>
      </c>
      <c r="D174" s="159">
        <f t="shared" si="17"/>
        <v>15.641079232891968</v>
      </c>
      <c r="E174" s="159">
        <f t="shared" si="18"/>
        <v>20.874478608226603</v>
      </c>
      <c r="F174" s="137"/>
      <c r="G174" s="160">
        <v>231</v>
      </c>
      <c r="H174" s="159">
        <f t="shared" si="19"/>
        <v>247.54999495051499</v>
      </c>
      <c r="I174" s="159">
        <f t="shared" si="15"/>
        <v>16.549994950514986</v>
      </c>
      <c r="J174" s="159">
        <f t="shared" si="20"/>
        <v>22.06645158762677</v>
      </c>
      <c r="K174" s="137"/>
      <c r="L174" s="137"/>
    </row>
    <row r="175" spans="1:12" ht="13.5">
      <c r="A175" s="137"/>
      <c r="B175" s="158">
        <v>262</v>
      </c>
      <c r="C175" s="159">
        <f t="shared" si="16"/>
        <v>246.42240157907722</v>
      </c>
      <c r="D175" s="159">
        <f t="shared" si="17"/>
        <v>15.577598420922783</v>
      </c>
      <c r="E175" s="159">
        <f t="shared" si="18"/>
        <v>20.791105174545713</v>
      </c>
      <c r="F175" s="137"/>
      <c r="G175" s="160">
        <v>232</v>
      </c>
      <c r="H175" s="159">
        <f t="shared" si="19"/>
        <v>248.48339984795766</v>
      </c>
      <c r="I175" s="159">
        <f t="shared" si="15"/>
        <v>16.483399847957656</v>
      </c>
      <c r="J175" s="159">
        <f t="shared" si="20"/>
        <v>21.979230896047103</v>
      </c>
      <c r="K175" s="137"/>
      <c r="L175" s="137"/>
    </row>
    <row r="176" spans="1:12" ht="13.5">
      <c r="A176" s="137"/>
      <c r="B176" s="158">
        <v>263</v>
      </c>
      <c r="C176" s="159">
        <f t="shared" si="16"/>
        <v>247.48535310195632</v>
      </c>
      <c r="D176" s="159">
        <f t="shared" si="17"/>
        <v>15.51464689804368</v>
      </c>
      <c r="E176" s="159">
        <f t="shared" si="18"/>
        <v>20.708411274426616</v>
      </c>
      <c r="F176" s="137"/>
      <c r="G176" s="160">
        <v>233</v>
      </c>
      <c r="H176" s="159">
        <f t="shared" si="19"/>
        <v>249.4173209702967</v>
      </c>
      <c r="I176" s="159">
        <f t="shared" si="15"/>
        <v>16.417320970296686</v>
      </c>
      <c r="J176" s="159">
        <f t="shared" si="20"/>
        <v>21.892668327945824</v>
      </c>
      <c r="K176" s="137"/>
      <c r="L176" s="137"/>
    </row>
    <row r="177" spans="1:12" ht="13.5">
      <c r="A177" s="137"/>
      <c r="B177" s="158">
        <v>264</v>
      </c>
      <c r="C177" s="159">
        <f t="shared" si="16"/>
        <v>248.54778212649575</v>
      </c>
      <c r="D177" s="159">
        <f t="shared" si="17"/>
        <v>15.452217873504253</v>
      </c>
      <c r="E177" s="159">
        <f t="shared" si="18"/>
        <v>20.626388426989756</v>
      </c>
      <c r="F177" s="137"/>
      <c r="G177" s="160">
        <v>234</v>
      </c>
      <c r="H177" s="159">
        <f t="shared" si="19"/>
        <v>250.3517525403008</v>
      </c>
      <c r="I177" s="159">
        <f t="shared" si="15"/>
        <v>16.351752540300794</v>
      </c>
      <c r="J177" s="159">
        <f t="shared" si="20"/>
        <v>21.80675678786302</v>
      </c>
      <c r="K177" s="137"/>
      <c r="L177" s="137"/>
    </row>
    <row r="178" spans="1:12" ht="13.5">
      <c r="A178" s="137"/>
      <c r="B178" s="158">
        <v>265</v>
      </c>
      <c r="C178" s="159">
        <f t="shared" si="16"/>
        <v>249.6096953245206</v>
      </c>
      <c r="D178" s="159">
        <f t="shared" si="17"/>
        <v>15.390304675479399</v>
      </c>
      <c r="E178" s="159">
        <f t="shared" si="18"/>
        <v>20.545028295438236</v>
      </c>
      <c r="F178" s="137"/>
      <c r="G178" s="160">
        <v>235</v>
      </c>
      <c r="H178" s="159">
        <f t="shared" si="19"/>
        <v>251.2866888635369</v>
      </c>
      <c r="I178" s="159">
        <f t="shared" si="15"/>
        <v>16.28668886353691</v>
      </c>
      <c r="J178" s="159">
        <f t="shared" si="20"/>
        <v>21.721489277059135</v>
      </c>
      <c r="K178" s="137"/>
      <c r="L178" s="137"/>
    </row>
    <row r="179" spans="1:12" ht="13.5">
      <c r="A179" s="137"/>
      <c r="B179" s="158">
        <v>266</v>
      </c>
      <c r="C179" s="159">
        <f t="shared" si="16"/>
        <v>250.67109925158903</v>
      </c>
      <c r="D179" s="159">
        <f t="shared" si="17"/>
        <v>15.328900748410973</v>
      </c>
      <c r="E179" s="159">
        <f t="shared" si="18"/>
        <v>20.464322683935023</v>
      </c>
      <c r="F179" s="137"/>
      <c r="G179" s="160">
        <v>236</v>
      </c>
      <c r="H179" s="159">
        <f t="shared" si="19"/>
        <v>252.22212432695113</v>
      </c>
      <c r="I179" s="159">
        <f t="shared" si="15"/>
        <v>16.222124326951132</v>
      </c>
      <c r="J179" s="159">
        <f t="shared" si="20"/>
        <v>21.636858891965115</v>
      </c>
      <c r="K179" s="137"/>
      <c r="L179" s="137"/>
    </row>
    <row r="180" spans="1:12" ht="13.5">
      <c r="A180" s="137"/>
      <c r="B180" s="158">
        <v>267</v>
      </c>
      <c r="C180" s="159">
        <f t="shared" si="16"/>
        <v>251.73200034957813</v>
      </c>
      <c r="D180" s="159">
        <f t="shared" si="17"/>
        <v>15.26799965042187</v>
      </c>
      <c r="E180" s="159">
        <f t="shared" si="18"/>
        <v>20.384263534562958</v>
      </c>
      <c r="F180" s="137"/>
      <c r="G180" s="160">
        <v>237</v>
      </c>
      <c r="H180" s="159">
        <f t="shared" si="19"/>
        <v>253.15805339747737</v>
      </c>
      <c r="I180" s="159">
        <f t="shared" si="15"/>
        <v>16.158053397477374</v>
      </c>
      <c r="J180" s="159">
        <f t="shared" si="20"/>
        <v>21.552858822660113</v>
      </c>
      <c r="K180" s="137"/>
      <c r="L180" s="137"/>
    </row>
    <row r="181" spans="1:12" ht="13.5">
      <c r="A181" s="137"/>
      <c r="B181" s="158">
        <v>268</v>
      </c>
      <c r="C181" s="159">
        <f t="shared" si="16"/>
        <v>252.79240494919938</v>
      </c>
      <c r="D181" s="159">
        <f t="shared" si="17"/>
        <v>15.20759505080062</v>
      </c>
      <c r="E181" s="159">
        <f t="shared" si="18"/>
        <v>20.304842924365033</v>
      </c>
      <c r="F181" s="137"/>
      <c r="G181" s="160">
        <v>238</v>
      </c>
      <c r="H181" s="159">
        <f t="shared" si="19"/>
        <v>254.0944706206729</v>
      </c>
      <c r="I181" s="159">
        <f t="shared" si="15"/>
        <v>16.094470620672894</v>
      </c>
      <c r="J181" s="159">
        <f t="shared" si="20"/>
        <v>21.469482351376346</v>
      </c>
      <c r="K181" s="137"/>
      <c r="L181" s="137"/>
    </row>
    <row r="182" spans="1:12" ht="13.5">
      <c r="A182" s="137"/>
      <c r="B182" s="158">
        <v>269</v>
      </c>
      <c r="C182" s="159">
        <f t="shared" si="16"/>
        <v>253.85231927244627</v>
      </c>
      <c r="D182" s="159">
        <f t="shared" si="17"/>
        <v>15.147680727553734</v>
      </c>
      <c r="E182" s="159">
        <f t="shared" si="18"/>
        <v>20.226053062462302</v>
      </c>
      <c r="F182" s="137"/>
      <c r="G182" s="160">
        <v>239</v>
      </c>
      <c r="H182" s="159">
        <f t="shared" si="19"/>
        <v>255.03137061938085</v>
      </c>
      <c r="I182" s="159">
        <f t="shared" si="15"/>
        <v>16.03137061938085</v>
      </c>
      <c r="J182" s="159">
        <f t="shared" si="20"/>
        <v>21.386722851030477</v>
      </c>
      <c r="K182" s="137"/>
      <c r="L182" s="137"/>
    </row>
    <row r="183" spans="1:12" ht="13.5">
      <c r="A183" s="137"/>
      <c r="B183" s="158">
        <v>270</v>
      </c>
      <c r="C183" s="159">
        <f t="shared" si="16"/>
        <v>254.91174943497603</v>
      </c>
      <c r="D183" s="159">
        <f t="shared" si="17"/>
        <v>15.08825056502397</v>
      </c>
      <c r="E183" s="159">
        <f t="shared" si="18"/>
        <v>20.1478862872471</v>
      </c>
      <c r="F183" s="137"/>
      <c r="G183" s="160">
        <v>240</v>
      </c>
      <c r="H183" s="159">
        <f t="shared" si="19"/>
        <v>255.9687480924185</v>
      </c>
      <c r="I183" s="159">
        <f t="shared" si="15"/>
        <v>15.968748092418508</v>
      </c>
      <c r="J183" s="159">
        <f t="shared" si="20"/>
        <v>21.304573783781155</v>
      </c>
      <c r="K183" s="137"/>
      <c r="L183" s="137"/>
    </row>
  </sheetData>
  <sheetProtection/>
  <mergeCells count="1">
    <mergeCell ref="D102:D106"/>
  </mergeCells>
  <printOptions/>
  <pageMargins left="0.75" right="0.75" top="1" bottom="1" header="0.512" footer="0.512"/>
  <pageSetup horizontalDpi="360" verticalDpi="360" orientation="portrait" paperSize="9"/>
  <drawing r:id="rId3"/>
  <legacyDrawing r:id="rId2"/>
  <oleObjects>
    <oleObject progId="Paint.Picture" shapeId="3" r:id="rId1"/>
  </oleObjects>
</worksheet>
</file>

<file path=xl/worksheets/sheet2.xml><?xml version="1.0" encoding="utf-8"?>
<worksheet xmlns="http://schemas.openxmlformats.org/spreadsheetml/2006/main" xmlns:r="http://schemas.openxmlformats.org/officeDocument/2006/relationships">
  <dimension ref="A1:I157"/>
  <sheetViews>
    <sheetView workbookViewId="0" topLeftCell="A131">
      <selection activeCell="I153" sqref="I153"/>
    </sheetView>
  </sheetViews>
  <sheetFormatPr defaultColWidth="8.875" defaultRowHeight="13.5"/>
  <cols>
    <col min="1" max="1" width="19.625" style="1" customWidth="1"/>
    <col min="2" max="2" width="9.00390625" style="1" bestFit="1" customWidth="1"/>
    <col min="3" max="3" width="11.00390625" style="1" customWidth="1"/>
    <col min="4" max="4" width="11.25390625" style="1" customWidth="1"/>
    <col min="5" max="5" width="11.00390625" style="1" customWidth="1"/>
    <col min="6" max="6" width="11.375" style="1" customWidth="1"/>
    <col min="7" max="7" width="11.00390625" style="1" customWidth="1"/>
    <col min="8" max="8" width="11.125" style="1" customWidth="1"/>
    <col min="9" max="9" width="10.75390625" style="1" customWidth="1"/>
    <col min="10" max="16384" width="8.00390625" style="1" customWidth="1"/>
  </cols>
  <sheetData>
    <row r="1" spans="1:8" ht="13.5">
      <c r="A1" s="2" t="s">
        <v>89</v>
      </c>
      <c r="B1" s="3"/>
      <c r="C1" s="4"/>
      <c r="D1" s="2"/>
      <c r="E1" s="5"/>
      <c r="F1" s="5"/>
      <c r="G1" s="5"/>
      <c r="H1" s="5"/>
    </row>
    <row r="2" spans="1:8" ht="13.5">
      <c r="A2" s="4" t="s">
        <v>90</v>
      </c>
      <c r="B2" s="6"/>
      <c r="C2" s="4">
        <f>C5-C4</f>
        <v>215.33999999999997</v>
      </c>
      <c r="D2" s="4" t="s">
        <v>11</v>
      </c>
      <c r="E2" s="5"/>
      <c r="F2" s="5"/>
      <c r="G2" s="5"/>
      <c r="H2" s="5"/>
    </row>
    <row r="3" spans="1:8" ht="13.5">
      <c r="A3" s="4" t="s">
        <v>24</v>
      </c>
      <c r="B3" s="6"/>
      <c r="C3" s="7">
        <f>SIN(C6*PI()/180)*C5</f>
        <v>88.84907859894662</v>
      </c>
      <c r="D3" s="4" t="s">
        <v>11</v>
      </c>
      <c r="E3" s="5"/>
      <c r="F3" s="5"/>
      <c r="G3" s="5"/>
      <c r="H3" s="5"/>
    </row>
    <row r="4" spans="1:8" ht="13.5">
      <c r="A4" s="4" t="s">
        <v>14</v>
      </c>
      <c r="B4" s="3" t="s">
        <v>10</v>
      </c>
      <c r="C4" s="8">
        <v>15.86</v>
      </c>
      <c r="D4" s="5" t="s">
        <v>11</v>
      </c>
      <c r="E4" s="5"/>
      <c r="F4" s="5"/>
      <c r="G4" s="5"/>
      <c r="H4" s="5"/>
    </row>
    <row r="5" spans="1:8" ht="13.5">
      <c r="A5" s="4" t="s">
        <v>16</v>
      </c>
      <c r="B5" s="3" t="s">
        <v>17</v>
      </c>
      <c r="C5" s="9">
        <v>231.2</v>
      </c>
      <c r="D5" s="5" t="s">
        <v>11</v>
      </c>
      <c r="E5" s="5"/>
      <c r="F5" s="5"/>
      <c r="G5" s="5"/>
      <c r="H5" s="5"/>
    </row>
    <row r="6" spans="1:7" ht="13.5">
      <c r="A6" s="5" t="s">
        <v>19</v>
      </c>
      <c r="B6" s="6" t="s">
        <v>20</v>
      </c>
      <c r="C6" s="9">
        <v>22.6</v>
      </c>
      <c r="D6" s="5" t="s">
        <v>91</v>
      </c>
      <c r="E6" s="10" t="s">
        <v>92</v>
      </c>
      <c r="F6" s="5"/>
      <c r="G6" s="5"/>
    </row>
    <row r="7" spans="1:8" ht="14.25">
      <c r="A7" s="5" t="s">
        <v>93</v>
      </c>
      <c r="B7" s="6" t="s">
        <v>94</v>
      </c>
      <c r="C7" s="11">
        <v>1.4142</v>
      </c>
      <c r="D7" s="5" t="s">
        <v>95</v>
      </c>
      <c r="E7" s="6" t="s">
        <v>96</v>
      </c>
      <c r="F7" s="12"/>
      <c r="G7" s="13">
        <f>C7/SQRT(2)</f>
        <v>0.9999904099540153</v>
      </c>
      <c r="H7" s="5" t="s">
        <v>97</v>
      </c>
    </row>
    <row r="8" spans="1:8" ht="14.25">
      <c r="A8" s="5" t="s">
        <v>98</v>
      </c>
      <c r="B8" s="6" t="s">
        <v>99</v>
      </c>
      <c r="C8" s="14">
        <v>0.3</v>
      </c>
      <c r="D8" s="6" t="s">
        <v>100</v>
      </c>
      <c r="E8" s="5" t="s">
        <v>101</v>
      </c>
      <c r="F8" s="5"/>
      <c r="G8" s="15">
        <f>C8/SQRT(2)</f>
        <v>0.21213203435596423</v>
      </c>
      <c r="H8" s="5"/>
    </row>
    <row r="9" spans="1:8" ht="13.5">
      <c r="A9" s="5" t="s">
        <v>102</v>
      </c>
      <c r="B9" s="6" t="s">
        <v>103</v>
      </c>
      <c r="C9" s="5">
        <f>C7*C8</f>
        <v>0.42425999999999997</v>
      </c>
      <c r="D9" s="5" t="s">
        <v>95</v>
      </c>
      <c r="E9" s="5" t="s">
        <v>104</v>
      </c>
      <c r="F9" s="5"/>
      <c r="G9" s="16">
        <f>2*G7*G8</f>
        <v>0.42425999999999986</v>
      </c>
      <c r="H9" s="5" t="s">
        <v>105</v>
      </c>
    </row>
    <row r="10" spans="1:8" ht="13.5">
      <c r="A10" s="5"/>
      <c r="B10" s="6"/>
      <c r="C10" s="5"/>
      <c r="D10" s="5"/>
      <c r="E10" s="5"/>
      <c r="F10" s="5"/>
      <c r="G10" s="17"/>
      <c r="H10" s="5"/>
    </row>
    <row r="11" spans="1:8" ht="13.5">
      <c r="A11" s="18"/>
      <c r="B11" s="6"/>
      <c r="C11" s="5" t="s">
        <v>106</v>
      </c>
      <c r="D11" s="5" t="s">
        <v>107</v>
      </c>
      <c r="E11" s="5" t="s">
        <v>108</v>
      </c>
      <c r="F11" s="5" t="s">
        <v>109</v>
      </c>
      <c r="G11" s="5" t="s">
        <v>110</v>
      </c>
      <c r="H11" s="5" t="s">
        <v>111</v>
      </c>
    </row>
    <row r="12" spans="2:8" ht="13.5">
      <c r="B12" s="19" t="s">
        <v>112</v>
      </c>
      <c r="C12" s="5" t="s">
        <v>113</v>
      </c>
      <c r="D12" s="5" t="s">
        <v>114</v>
      </c>
      <c r="E12" s="5" t="s">
        <v>115</v>
      </c>
      <c r="F12" s="5"/>
      <c r="G12" s="5"/>
      <c r="H12" s="5" t="s">
        <v>116</v>
      </c>
    </row>
    <row r="13" spans="1:8" ht="13.5">
      <c r="A13" s="3" t="s">
        <v>117</v>
      </c>
      <c r="B13" s="6" t="s">
        <v>118</v>
      </c>
      <c r="C13" s="5" t="s">
        <v>119</v>
      </c>
      <c r="D13" s="19" t="s">
        <v>91</v>
      </c>
      <c r="F13" s="6" t="s">
        <v>120</v>
      </c>
      <c r="G13" s="6" t="s">
        <v>121</v>
      </c>
      <c r="H13" s="6" t="s">
        <v>122</v>
      </c>
    </row>
    <row r="14" spans="1:8" ht="13.5">
      <c r="A14" s="20" t="s">
        <v>123</v>
      </c>
      <c r="B14" s="3" t="s">
        <v>124</v>
      </c>
      <c r="C14" s="19" t="s">
        <v>125</v>
      </c>
      <c r="D14" s="19" t="s">
        <v>125</v>
      </c>
      <c r="E14" s="21"/>
      <c r="F14" s="21"/>
      <c r="G14" s="21"/>
      <c r="H14" s="19" t="s">
        <v>125</v>
      </c>
    </row>
    <row r="15" spans="1:9" ht="13.5">
      <c r="A15" s="22"/>
      <c r="C15" s="23">
        <f>MAXA(C16:C34)</f>
        <v>0.19589779898318785</v>
      </c>
      <c r="D15" s="23">
        <f>MAXA(D16:D34)</f>
        <v>1.4277036063715947</v>
      </c>
      <c r="E15" s="24"/>
      <c r="F15" s="24"/>
      <c r="G15" s="24"/>
      <c r="H15" s="23">
        <f>MAXA(H16:H34)</f>
        <v>1.3215914718362802</v>
      </c>
      <c r="I15" s="43"/>
    </row>
    <row r="16" spans="1:8" ht="13.5">
      <c r="A16" s="25">
        <v>57.5</v>
      </c>
      <c r="B16" s="26">
        <f>ASIN(A16/2/$C$5+$C$5/A16*($C$4/$C$5-0.5*($C$4/$C$5)^2))*180/PI()</f>
        <v>22.99909906292728</v>
      </c>
      <c r="C16" s="27">
        <f>$C$9*TAN(B16*PI()/180)</f>
        <v>0.18007981236922269</v>
      </c>
      <c r="D16" s="27">
        <f>SQRT(C16^2+$C$7^2)</f>
        <v>1.4256192965946184</v>
      </c>
      <c r="E16" s="27">
        <f>ATAN(C16/$C$7)*180/PI()</f>
        <v>7.256811540669262</v>
      </c>
      <c r="F16" s="27">
        <f>COS((45+E16)*PI()/180)*D16</f>
        <v>0.872654753472937</v>
      </c>
      <c r="G16" s="27">
        <f>COS((45-E16)*PI()/180)*D16</f>
        <v>1.1273260664350941</v>
      </c>
      <c r="H16" s="27">
        <f>G16/F16</f>
        <v>1.2918351294697383</v>
      </c>
    </row>
    <row r="17" spans="1:8" ht="13.5">
      <c r="A17" s="25">
        <v>60</v>
      </c>
      <c r="B17" s="26">
        <f aca="true" t="shared" si="0" ref="B17:B29">ASIN(A17/2/$C$5+$C$5/A17*($C$4/$C$5-0.5*($C$4/$C$5)^2))*180/PI()</f>
        <v>22.645271715395783</v>
      </c>
      <c r="C17" s="27">
        <f aca="true" t="shared" si="1" ref="C17:C29">$C$9*TAN(B17*PI()/180)</f>
        <v>0.17699583268665972</v>
      </c>
      <c r="D17" s="27">
        <f aca="true" t="shared" si="2" ref="D17:D29">SQRT(C17^2+$C$7^2)</f>
        <v>1.4252330212244044</v>
      </c>
      <c r="E17" s="27">
        <f aca="true" t="shared" si="3" ref="E17:E29">ATAN(C17/$C$7)*180/PI()</f>
        <v>7.1338254870935325</v>
      </c>
      <c r="F17" s="27">
        <f aca="true" t="shared" si="4" ref="F17:F29">COS((45+E17)*PI()/180)*D17</f>
        <v>0.8748354564195189</v>
      </c>
      <c r="G17" s="27">
        <f aca="true" t="shared" si="5" ref="G17:G29">COS((45-E17)*PI()/180)*D17</f>
        <v>1.1251453634885122</v>
      </c>
      <c r="H17" s="27">
        <f aca="true" t="shared" si="6" ref="H17:H29">G17/F17</f>
        <v>1.2861222704592343</v>
      </c>
    </row>
    <row r="18" spans="1:8" ht="13.5">
      <c r="A18" s="25">
        <v>65</v>
      </c>
      <c r="B18" s="26">
        <f t="shared" si="0"/>
        <v>22.098617280942175</v>
      </c>
      <c r="C18" s="27">
        <f t="shared" si="1"/>
        <v>0.17226219471562912</v>
      </c>
      <c r="D18" s="27">
        <f t="shared" si="2"/>
        <v>1.424652906405011</v>
      </c>
      <c r="E18" s="27">
        <f t="shared" si="3"/>
        <v>6.944924447632362</v>
      </c>
      <c r="F18" s="27">
        <f t="shared" si="4"/>
        <v>0.8781826439285166</v>
      </c>
      <c r="G18" s="27">
        <f t="shared" si="5"/>
        <v>1.1217981759795141</v>
      </c>
      <c r="H18" s="27">
        <f t="shared" si="6"/>
        <v>1.2774087301033332</v>
      </c>
    </row>
    <row r="19" spans="1:8" ht="13.5">
      <c r="A19" s="25">
        <v>70</v>
      </c>
      <c r="B19" s="26">
        <f t="shared" si="0"/>
        <v>21.726982039562653</v>
      </c>
      <c r="C19" s="27">
        <f t="shared" si="1"/>
        <v>0.16906503773928994</v>
      </c>
      <c r="D19" s="27">
        <f t="shared" si="2"/>
        <v>1.4242698575009538</v>
      </c>
      <c r="E19" s="27">
        <f t="shared" si="3"/>
        <v>6.817252220836885</v>
      </c>
      <c r="F19" s="27">
        <f t="shared" si="4"/>
        <v>0.8804433753070039</v>
      </c>
      <c r="G19" s="27">
        <f t="shared" si="5"/>
        <v>1.119537444601027</v>
      </c>
      <c r="H19" s="27">
        <f t="shared" si="6"/>
        <v>1.2715609839311393</v>
      </c>
    </row>
    <row r="20" spans="1:8" ht="13.5">
      <c r="A20" s="25">
        <v>75</v>
      </c>
      <c r="B20" s="26">
        <f t="shared" si="0"/>
        <v>21.494427757280658</v>
      </c>
      <c r="C20" s="27">
        <f t="shared" si="1"/>
        <v>0.16707279695744717</v>
      </c>
      <c r="D20" s="27">
        <f t="shared" si="2"/>
        <v>1.4240347465856247</v>
      </c>
      <c r="E20" s="27">
        <f t="shared" si="3"/>
        <v>6.737661477366891</v>
      </c>
      <c r="F20" s="27">
        <f t="shared" si="4"/>
        <v>0.8818521022736014</v>
      </c>
      <c r="G20" s="27">
        <f t="shared" si="5"/>
        <v>1.1181287176344294</v>
      </c>
      <c r="H20" s="27">
        <f t="shared" si="6"/>
        <v>1.267932247087303</v>
      </c>
    </row>
    <row r="21" spans="1:8" ht="13.5">
      <c r="A21" s="25">
        <v>80</v>
      </c>
      <c r="B21" s="26">
        <f t="shared" si="0"/>
        <v>21.37438736348975</v>
      </c>
      <c r="C21" s="27">
        <f t="shared" si="1"/>
        <v>0.16604693184246616</v>
      </c>
      <c r="D21" s="27">
        <f t="shared" si="2"/>
        <v>1.423914752916865</v>
      </c>
      <c r="E21" s="27">
        <f t="shared" si="3"/>
        <v>6.696667582016912</v>
      </c>
      <c r="F21" s="27">
        <f t="shared" si="4"/>
        <v>0.882577498452987</v>
      </c>
      <c r="G21" s="27">
        <f t="shared" si="5"/>
        <v>1.117403321455044</v>
      </c>
      <c r="H21" s="27">
        <f t="shared" si="6"/>
        <v>1.2660682188404622</v>
      </c>
    </row>
    <row r="22" spans="1:8" ht="13.5">
      <c r="A22" s="25">
        <v>85</v>
      </c>
      <c r="B22" s="26">
        <f t="shared" si="0"/>
        <v>21.346787058819537</v>
      </c>
      <c r="C22" s="27">
        <f t="shared" si="1"/>
        <v>0.16581129782207787</v>
      </c>
      <c r="D22" s="27">
        <f t="shared" si="2"/>
        <v>1.4238872941653218</v>
      </c>
      <c r="E22" s="27">
        <f t="shared" si="3"/>
        <v>6.687250597504749</v>
      </c>
      <c r="F22" s="27">
        <f t="shared" si="4"/>
        <v>0.882744116866682</v>
      </c>
      <c r="G22" s="27">
        <f t="shared" si="5"/>
        <v>1.117236703041349</v>
      </c>
      <c r="H22" s="27">
        <f t="shared" si="6"/>
        <v>1.265640497279102</v>
      </c>
    </row>
    <row r="23" spans="1:8" ht="13.5">
      <c r="A23" s="25">
        <v>90</v>
      </c>
      <c r="B23" s="26">
        <f t="shared" si="0"/>
        <v>21.396173328600508</v>
      </c>
      <c r="C23" s="27">
        <f t="shared" si="1"/>
        <v>0.16623298944270948</v>
      </c>
      <c r="D23" s="27">
        <f t="shared" si="2"/>
        <v>1.4239364616369157</v>
      </c>
      <c r="E23" s="27">
        <f t="shared" si="3"/>
        <v>6.7041030153012695</v>
      </c>
      <c r="F23" s="27">
        <f t="shared" si="4"/>
        <v>0.8824459358621638</v>
      </c>
      <c r="G23" s="27">
        <f t="shared" si="5"/>
        <v>1.1175348840458672</v>
      </c>
      <c r="H23" s="27">
        <f t="shared" si="6"/>
        <v>1.266406063680284</v>
      </c>
    </row>
    <row r="24" spans="1:8" ht="13.5">
      <c r="A24" s="25">
        <v>95</v>
      </c>
      <c r="B24" s="26">
        <f t="shared" si="0"/>
        <v>21.51045613378936</v>
      </c>
      <c r="C24" s="27">
        <f t="shared" si="1"/>
        <v>0.1672099033720324</v>
      </c>
      <c r="D24" s="27">
        <f t="shared" si="2"/>
        <v>1.424050838904877</v>
      </c>
      <c r="E24" s="27">
        <f t="shared" si="3"/>
        <v>6.743139769148427</v>
      </c>
      <c r="F24" s="27">
        <f t="shared" si="4"/>
        <v>0.8817551533981041</v>
      </c>
      <c r="G24" s="27">
        <f t="shared" si="5"/>
        <v>1.1182256665099268</v>
      </c>
      <c r="H24" s="27">
        <f t="shared" si="6"/>
        <v>1.2681816059713558</v>
      </c>
    </row>
    <row r="25" spans="1:8" ht="13.5">
      <c r="A25" s="25">
        <v>100</v>
      </c>
      <c r="B25" s="26">
        <f t="shared" si="0"/>
        <v>21.68004311286414</v>
      </c>
      <c r="C25" s="27">
        <f t="shared" si="1"/>
        <v>0.16866240557218742</v>
      </c>
      <c r="D25" s="27">
        <f t="shared" si="2"/>
        <v>1.424222119984589</v>
      </c>
      <c r="E25" s="27">
        <f t="shared" si="3"/>
        <v>6.801169040567519</v>
      </c>
      <c r="F25" s="27">
        <f t="shared" si="4"/>
        <v>0.880728079242686</v>
      </c>
      <c r="G25" s="27">
        <f t="shared" si="5"/>
        <v>1.119252740665345</v>
      </c>
      <c r="H25" s="27">
        <f t="shared" si="6"/>
        <v>1.2708266797031835</v>
      </c>
    </row>
    <row r="26" spans="1:8" ht="13.5">
      <c r="A26" s="25">
        <v>105</v>
      </c>
      <c r="B26" s="26">
        <f t="shared" si="0"/>
        <v>21.89722935113843</v>
      </c>
      <c r="C26" s="27">
        <f t="shared" si="1"/>
        <v>0.17052759560668398</v>
      </c>
      <c r="D26" s="27">
        <f t="shared" si="2"/>
        <v>1.424444207704674</v>
      </c>
      <c r="E26" s="27">
        <f t="shared" si="3"/>
        <v>6.875665134840192</v>
      </c>
      <c r="F26" s="27">
        <f t="shared" si="4"/>
        <v>0.8794091907210919</v>
      </c>
      <c r="G26" s="27">
        <f t="shared" si="5"/>
        <v>1.120571629186939</v>
      </c>
      <c r="H26" s="27">
        <f t="shared" si="6"/>
        <v>1.2742323380406115</v>
      </c>
    </row>
    <row r="27" spans="1:8" ht="13.5">
      <c r="A27" s="25">
        <v>110</v>
      </c>
      <c r="B27" s="26">
        <f t="shared" si="0"/>
        <v>22.155758548786096</v>
      </c>
      <c r="C27" s="27">
        <f t="shared" si="1"/>
        <v>0.1727552653844506</v>
      </c>
      <c r="D27" s="27">
        <f t="shared" si="2"/>
        <v>1.4247126102193564</v>
      </c>
      <c r="E27" s="27">
        <f t="shared" si="3"/>
        <v>6.964608128069308</v>
      </c>
      <c r="F27" s="27">
        <f t="shared" si="4"/>
        <v>0.8778339903149889</v>
      </c>
      <c r="G27" s="27">
        <f t="shared" si="5"/>
        <v>1.1221468295930421</v>
      </c>
      <c r="H27" s="27">
        <f t="shared" si="6"/>
        <v>1.2783132596521896</v>
      </c>
    </row>
    <row r="28" spans="1:8" ht="13.5">
      <c r="A28" s="25">
        <v>115</v>
      </c>
      <c r="B28" s="26">
        <f t="shared" si="0"/>
        <v>22.450501775617578</v>
      </c>
      <c r="C28" s="27">
        <f t="shared" si="1"/>
        <v>0.17530499319840512</v>
      </c>
      <c r="D28" s="27">
        <f t="shared" si="2"/>
        <v>1.4250240280922608</v>
      </c>
      <c r="E28" s="27">
        <f t="shared" si="3"/>
        <v>7.066368353312388</v>
      </c>
      <c r="F28" s="27">
        <f t="shared" si="4"/>
        <v>0.8760310604875617</v>
      </c>
      <c r="G28" s="27">
        <f t="shared" si="5"/>
        <v>1.1239497594204693</v>
      </c>
      <c r="H28" s="27">
        <f t="shared" si="6"/>
        <v>1.2830021789352155</v>
      </c>
    </row>
    <row r="29" spans="1:8" ht="13.5">
      <c r="A29" s="25">
        <v>120</v>
      </c>
      <c r="B29" s="26">
        <f t="shared" si="0"/>
        <v>22.777218536674333</v>
      </c>
      <c r="C29" s="27">
        <f t="shared" si="1"/>
        <v>0.17814401644127853</v>
      </c>
      <c r="D29" s="27">
        <f t="shared" si="2"/>
        <v>1.425376066374706</v>
      </c>
      <c r="E29" s="27">
        <f t="shared" si="3"/>
        <v>7.179621700575909</v>
      </c>
      <c r="F29" s="27">
        <f t="shared" si="4"/>
        <v>0.8740235679005797</v>
      </c>
      <c r="G29" s="27">
        <f t="shared" si="5"/>
        <v>1.1259572520074512</v>
      </c>
      <c r="H29" s="27">
        <f t="shared" si="6"/>
        <v>1.2882458704311839</v>
      </c>
    </row>
    <row r="30" spans="1:8" ht="13.5">
      <c r="A30" s="25">
        <v>125</v>
      </c>
      <c r="B30" s="26">
        <f aca="true" t="shared" si="7" ref="B30:B35">ASIN(A30/2/$C$5+$C$5/A30*($C$4/$C$5-0.5*($C$4/$C$5)^2))*180/PI()</f>
        <v>23.13237650353928</v>
      </c>
      <c r="C30" s="27">
        <f aca="true" t="shared" si="8" ref="C30:C35">$C$9*TAN(B30*PI()/180)</f>
        <v>0.18124564962356737</v>
      </c>
      <c r="D30" s="27">
        <f aca="true" t="shared" si="9" ref="D30:D35">SQRT(C30^2+$C$7^2)</f>
        <v>1.425767030586508</v>
      </c>
      <c r="E30" s="27">
        <f aca="true" t="shared" si="10" ref="E30:E35">ATAN(C30/$C$7)*180/PI()</f>
        <v>7.303286531097</v>
      </c>
      <c r="F30" s="27">
        <f aca="true" t="shared" si="11" ref="F30:F35">COS((45+E30)*PI()/180)*D30</f>
        <v>0.8718303820446298</v>
      </c>
      <c r="G30" s="27">
        <f aca="true" t="shared" si="12" ref="G30:G35">COS((45-E30)*PI()/180)*D30</f>
        <v>1.1281504378634009</v>
      </c>
      <c r="H30" s="27">
        <f aca="true" t="shared" si="13" ref="H30:H35">G30/F30</f>
        <v>1.2940022062750847</v>
      </c>
    </row>
    <row r="31" spans="1:8" ht="13.5">
      <c r="A31" s="25">
        <v>130</v>
      </c>
      <c r="B31" s="26">
        <f t="shared" si="7"/>
        <v>23.51301374338419</v>
      </c>
      <c r="C31" s="27">
        <f t="shared" si="8"/>
        <v>0.1845880914470742</v>
      </c>
      <c r="D31" s="27">
        <f t="shared" si="9"/>
        <v>1.4261957802153509</v>
      </c>
      <c r="E31" s="27">
        <f t="shared" si="10"/>
        <v>7.436476034108297</v>
      </c>
      <c r="F31" s="27">
        <f t="shared" si="11"/>
        <v>0.8694669187655069</v>
      </c>
      <c r="G31" s="27">
        <f t="shared" si="12"/>
        <v>1.1305139011425243</v>
      </c>
      <c r="H31" s="27">
        <f t="shared" si="13"/>
        <v>1.3002379696603743</v>
      </c>
    </row>
    <row r="32" spans="1:8" ht="13.5">
      <c r="A32" s="25">
        <v>135</v>
      </c>
      <c r="B32" s="26">
        <f t="shared" si="7"/>
        <v>23.916632190217694</v>
      </c>
      <c r="C32" s="27">
        <f t="shared" si="8"/>
        <v>0.1881535141761316</v>
      </c>
      <c r="D32" s="27">
        <f t="shared" si="9"/>
        <v>1.4266616224237714</v>
      </c>
      <c r="E32" s="27">
        <f t="shared" si="10"/>
        <v>7.57846180137642</v>
      </c>
      <c r="F32" s="27">
        <f t="shared" si="11"/>
        <v>0.8669457841759938</v>
      </c>
      <c r="G32" s="27">
        <f t="shared" si="12"/>
        <v>1.1330350357320373</v>
      </c>
      <c r="H32" s="27">
        <f t="shared" si="13"/>
        <v>1.3069272109200618</v>
      </c>
    </row>
    <row r="33" spans="1:8" ht="13.5">
      <c r="A33" s="25">
        <v>140</v>
      </c>
      <c r="B33" s="26">
        <f t="shared" si="7"/>
        <v>24.34111439416772</v>
      </c>
      <c r="C33" s="27">
        <f t="shared" si="8"/>
        <v>0.19192736102035265</v>
      </c>
      <c r="D33" s="27">
        <f t="shared" si="9"/>
        <v>1.4271642343851798</v>
      </c>
      <c r="E33" s="27">
        <f t="shared" si="10"/>
        <v>7.728645674899524</v>
      </c>
      <c r="F33" s="27">
        <f t="shared" si="11"/>
        <v>0.8642772714812853</v>
      </c>
      <c r="G33" s="27">
        <f t="shared" si="12"/>
        <v>1.1357035484267455</v>
      </c>
      <c r="H33" s="27">
        <f t="shared" si="13"/>
        <v>1.3140499998111284</v>
      </c>
    </row>
    <row r="34" spans="1:8" ht="13.5">
      <c r="A34" s="25">
        <v>145</v>
      </c>
      <c r="B34" s="26">
        <f t="shared" si="7"/>
        <v>24.784657829462745</v>
      </c>
      <c r="C34" s="27">
        <f t="shared" si="8"/>
        <v>0.19589779898318785</v>
      </c>
      <c r="D34" s="27">
        <f t="shared" si="9"/>
        <v>1.4277036063715947</v>
      </c>
      <c r="E34" s="27">
        <f t="shared" si="10"/>
        <v>7.88653778167665</v>
      </c>
      <c r="F34" s="27">
        <f t="shared" si="11"/>
        <v>0.861469747873484</v>
      </c>
      <c r="G34" s="27">
        <f t="shared" si="12"/>
        <v>1.1385110720345468</v>
      </c>
      <c r="H34" s="27">
        <f t="shared" si="13"/>
        <v>1.3215914718362802</v>
      </c>
    </row>
    <row r="35" spans="1:8" ht="13.5">
      <c r="A35" s="25">
        <v>147.5</v>
      </c>
      <c r="B35" s="26">
        <f t="shared" si="7"/>
        <v>25.013087239058915</v>
      </c>
      <c r="C35" s="27">
        <f t="shared" si="8"/>
        <v>0.19795367898708907</v>
      </c>
      <c r="D35" s="27">
        <f t="shared" si="9"/>
        <v>1.4279871494605696</v>
      </c>
      <c r="E35" s="27">
        <f t="shared" si="10"/>
        <v>7.968246616835747</v>
      </c>
      <c r="F35" s="27">
        <f t="shared" si="11"/>
        <v>0.8600160211814197</v>
      </c>
      <c r="G35" s="27">
        <f t="shared" si="12"/>
        <v>1.139964798726611</v>
      </c>
      <c r="H35" s="27">
        <f t="shared" si="13"/>
        <v>1.325515770230211</v>
      </c>
    </row>
    <row r="36" spans="1:8" ht="15">
      <c r="A36" s="28"/>
      <c r="B36" s="29"/>
      <c r="C36" s="27"/>
      <c r="D36" s="27"/>
      <c r="E36" s="27"/>
      <c r="F36" s="27"/>
      <c r="G36" s="27"/>
      <c r="H36" s="27"/>
    </row>
    <row r="37" spans="1:8" ht="15">
      <c r="A37" s="2" t="s">
        <v>126</v>
      </c>
      <c r="B37" s="5"/>
      <c r="C37" s="3"/>
      <c r="D37" s="30"/>
      <c r="E37" s="5"/>
      <c r="F37" s="31"/>
      <c r="G37" s="31"/>
      <c r="H37" s="31"/>
    </row>
    <row r="38" spans="1:5" ht="15">
      <c r="A38" s="4" t="s">
        <v>14</v>
      </c>
      <c r="C38" s="3" t="s">
        <v>10</v>
      </c>
      <c r="D38" s="8">
        <v>15.86</v>
      </c>
      <c r="E38" s="5" t="s">
        <v>11</v>
      </c>
    </row>
    <row r="39" spans="1:6" ht="15">
      <c r="A39" s="4" t="s">
        <v>16</v>
      </c>
      <c r="C39" s="3" t="s">
        <v>17</v>
      </c>
      <c r="D39" s="9">
        <v>231.2</v>
      </c>
      <c r="E39" s="5" t="s">
        <v>11</v>
      </c>
      <c r="F39" s="5"/>
    </row>
    <row r="40" spans="1:6" ht="15">
      <c r="A40" s="5" t="s">
        <v>19</v>
      </c>
      <c r="C40" s="6" t="s">
        <v>20</v>
      </c>
      <c r="D40" s="9">
        <v>22.6</v>
      </c>
      <c r="E40" s="5" t="s">
        <v>91</v>
      </c>
      <c r="F40" s="5"/>
    </row>
    <row r="41" spans="1:7" ht="15">
      <c r="A41" s="5" t="s">
        <v>93</v>
      </c>
      <c r="C41" s="6" t="s">
        <v>94</v>
      </c>
      <c r="D41" s="32">
        <v>1.5</v>
      </c>
      <c r="E41" s="5" t="s">
        <v>95</v>
      </c>
      <c r="F41" s="5"/>
      <c r="G41" s="33"/>
    </row>
    <row r="42" spans="1:7" ht="15">
      <c r="A42" s="5" t="s">
        <v>98</v>
      </c>
      <c r="C42" s="6" t="s">
        <v>99</v>
      </c>
      <c r="D42" s="5">
        <v>0.3</v>
      </c>
      <c r="E42" s="5"/>
      <c r="F42" s="5"/>
      <c r="G42" s="34"/>
    </row>
    <row r="43" spans="1:6" ht="15">
      <c r="A43" s="5" t="s">
        <v>102</v>
      </c>
      <c r="C43" s="6" t="s">
        <v>103</v>
      </c>
      <c r="D43" s="5">
        <f>D41*D42</f>
        <v>0.44999999999999996</v>
      </c>
      <c r="E43" s="5" t="s">
        <v>95</v>
      </c>
      <c r="F43" s="5"/>
    </row>
    <row r="44" spans="2:8" ht="15">
      <c r="B44" s="2" t="s">
        <v>127</v>
      </c>
      <c r="E44" s="5"/>
      <c r="F44" s="5"/>
      <c r="G44" s="5"/>
      <c r="H44" s="5"/>
    </row>
    <row r="45" spans="1:8" ht="15">
      <c r="A45" s="5"/>
      <c r="H45" s="5"/>
    </row>
    <row r="46" spans="1:8" ht="15">
      <c r="A46" s="5"/>
      <c r="B46" s="35"/>
      <c r="C46" s="36" t="s">
        <v>98</v>
      </c>
      <c r="D46" s="37"/>
      <c r="E46" s="38" t="s">
        <v>99</v>
      </c>
      <c r="F46" s="39">
        <v>0.2</v>
      </c>
      <c r="G46" s="40"/>
      <c r="H46" s="6"/>
    </row>
    <row r="47" spans="1:8" ht="15">
      <c r="A47" s="5"/>
      <c r="B47" s="41" t="s">
        <v>128</v>
      </c>
      <c r="C47" s="42" t="s">
        <v>129</v>
      </c>
      <c r="D47" s="43" t="s">
        <v>130</v>
      </c>
      <c r="E47" s="43" t="s">
        <v>131</v>
      </c>
      <c r="F47" s="44" t="s">
        <v>132</v>
      </c>
      <c r="G47" s="45" t="s">
        <v>122</v>
      </c>
      <c r="H47" s="46"/>
    </row>
    <row r="48" spans="2:8" ht="15">
      <c r="B48" s="47"/>
      <c r="C48" s="48">
        <f>$F$46*TAN($D$40*PI()/180)</f>
        <v>0.08325196483668774</v>
      </c>
      <c r="D48" s="49">
        <v>0</v>
      </c>
      <c r="E48" s="50">
        <f>C48-C48*D48</f>
        <v>0.08325196483668774</v>
      </c>
      <c r="F48" s="51">
        <f>ATAN(E48)*180/PI()</f>
        <v>4.759011740332158</v>
      </c>
      <c r="G48" s="52">
        <f>COS((45-F48)*PI()/180)/COS((45+F48)*PI()/180)</f>
        <v>1.181624528536583</v>
      </c>
      <c r="H48" s="46"/>
    </row>
    <row r="49" spans="2:8" ht="15">
      <c r="B49" s="47"/>
      <c r="C49" s="48">
        <f>$F$46*TAN($D$40*PI()/180)</f>
        <v>0.08325196483668774</v>
      </c>
      <c r="D49" s="49">
        <v>0.5</v>
      </c>
      <c r="E49" s="50">
        <f>C49-C49*D49</f>
        <v>0.04162598241834387</v>
      </c>
      <c r="F49" s="51">
        <f>ATAN(E49)*180/PI()</f>
        <v>2.3836170306539546</v>
      </c>
      <c r="G49" s="52">
        <f>COS((45-F49)*PI()/180)/COS((45+F49)*PI()/180)</f>
        <v>1.0868679276664492</v>
      </c>
      <c r="H49" s="46"/>
    </row>
    <row r="50" spans="2:8" ht="15">
      <c r="B50" s="47"/>
      <c r="C50" s="48">
        <f>$F$46*TAN($D$40*PI()/180)</f>
        <v>0.08325196483668774</v>
      </c>
      <c r="D50" s="49">
        <v>1</v>
      </c>
      <c r="E50" s="50">
        <f>C50-C50*D50</f>
        <v>0</v>
      </c>
      <c r="F50" s="51">
        <f>ATAN(E50)*180/PI()</f>
        <v>0</v>
      </c>
      <c r="G50" s="52">
        <f>COS((45-F50)*PI()/180)/COS((45+F50)*PI()/180)</f>
        <v>1</v>
      </c>
      <c r="H50" s="46"/>
    </row>
    <row r="51" spans="2:8" ht="15">
      <c r="B51" s="47"/>
      <c r="C51" s="48">
        <f>$F$46*TAN($D$40*PI()/180)</f>
        <v>0.08325196483668774</v>
      </c>
      <c r="D51" s="49">
        <v>1.5</v>
      </c>
      <c r="E51" s="50">
        <f>C51-C51*D51</f>
        <v>-0.04162598241834388</v>
      </c>
      <c r="F51" s="51">
        <f>ATAN(E51)*180/PI()</f>
        <v>-2.383617030653955</v>
      </c>
      <c r="G51" s="52">
        <f>COS((45-F51)*PI()/180)/COS((45+F51)*PI()/180)</f>
        <v>0.9200749921354673</v>
      </c>
      <c r="H51" s="46"/>
    </row>
    <row r="52" spans="1:8" ht="15">
      <c r="A52" s="22"/>
      <c r="B52" s="53"/>
      <c r="C52" s="54">
        <f>$F$46*TAN($D$40*PI()/180)</f>
        <v>0.08325196483668774</v>
      </c>
      <c r="D52" s="49">
        <v>2</v>
      </c>
      <c r="E52" s="55">
        <f>C52-C52*D52</f>
        <v>-0.08325196483668774</v>
      </c>
      <c r="F52" s="56">
        <f>ATAN(E52)*180/PI()</f>
        <v>-4.759011740332158</v>
      </c>
      <c r="G52" s="57">
        <f>COS((45-F52)*PI()/180)/COS((45+F52)*PI()/180)</f>
        <v>0.8462925200431299</v>
      </c>
      <c r="H52" s="5"/>
    </row>
    <row r="53" spans="1:8" ht="13.5">
      <c r="A53" s="22"/>
      <c r="H53" s="5"/>
    </row>
    <row r="54" spans="1:8" ht="13.5">
      <c r="A54" s="22"/>
      <c r="B54" s="35"/>
      <c r="C54" s="36" t="s">
        <v>98</v>
      </c>
      <c r="D54" s="37"/>
      <c r="E54" s="38" t="s">
        <v>99</v>
      </c>
      <c r="F54" s="39">
        <v>0.3</v>
      </c>
      <c r="G54" s="40"/>
      <c r="H54" s="5"/>
    </row>
    <row r="55" spans="1:8" ht="13.5">
      <c r="A55" s="22"/>
      <c r="B55" s="41" t="s">
        <v>128</v>
      </c>
      <c r="C55" s="42" t="s">
        <v>129</v>
      </c>
      <c r="D55" s="43" t="s">
        <v>130</v>
      </c>
      <c r="E55" s="43" t="s">
        <v>131</v>
      </c>
      <c r="F55" s="44" t="s">
        <v>132</v>
      </c>
      <c r="G55" s="45" t="s">
        <v>122</v>
      </c>
      <c r="H55" s="5"/>
    </row>
    <row r="56" spans="1:8" ht="13.5">
      <c r="A56" s="22"/>
      <c r="B56" s="47"/>
      <c r="C56" s="48">
        <f>$F$54*TAN($D$40*PI()/180)</f>
        <v>0.12487794725503161</v>
      </c>
      <c r="D56" s="49">
        <v>0</v>
      </c>
      <c r="E56" s="50">
        <f>C56-C56*D56</f>
        <v>0.12487794725503161</v>
      </c>
      <c r="F56" s="51">
        <f>ATAN(E56)*180/PI()</f>
        <v>7.118130724599346</v>
      </c>
      <c r="G56" s="52">
        <f>COS((45-F56)*PI()/180)/COS((45+F56)*PI()/180)</f>
        <v>1.2853954985212197</v>
      </c>
      <c r="H56" s="5"/>
    </row>
    <row r="57" spans="1:8" ht="13.5">
      <c r="A57" s="22"/>
      <c r="B57" s="47"/>
      <c r="C57" s="48">
        <f>$D$42*TAN($D$40*PI()/180)</f>
        <v>0.12487794725503161</v>
      </c>
      <c r="D57" s="49">
        <v>0.5</v>
      </c>
      <c r="E57" s="50">
        <f>C57-C57*D57</f>
        <v>0.062438973627515805</v>
      </c>
      <c r="F57" s="51">
        <f>ATAN(E57)*180/PI()</f>
        <v>3.5728514134533205</v>
      </c>
      <c r="G57" s="52">
        <f>COS((45-F57)*PI()/180)/COS((45+F57)*PI()/180)</f>
        <v>1.1331944734714463</v>
      </c>
      <c r="H57" s="5"/>
    </row>
    <row r="58" spans="1:8" ht="13.5">
      <c r="A58" s="22"/>
      <c r="B58" s="47"/>
      <c r="C58" s="48">
        <f>$D$42*TAN($D$40*PI()/180)</f>
        <v>0.12487794725503161</v>
      </c>
      <c r="D58" s="49">
        <v>1</v>
      </c>
      <c r="E58" s="50">
        <f>C58-C58*D58</f>
        <v>0</v>
      </c>
      <c r="F58" s="51">
        <f>ATAN(E58)*180/PI()</f>
        <v>0</v>
      </c>
      <c r="G58" s="52">
        <f>COS((45-F58)*PI()/180)/COS((45+F58)*PI()/180)</f>
        <v>1</v>
      </c>
      <c r="H58" s="5"/>
    </row>
    <row r="59" spans="1:8" ht="13.5">
      <c r="A59" s="22"/>
      <c r="B59" s="47"/>
      <c r="C59" s="48">
        <f>$D$42*TAN($D$40*PI()/180)</f>
        <v>0.12487794725503161</v>
      </c>
      <c r="D59" s="49">
        <v>1.5</v>
      </c>
      <c r="E59" s="50">
        <f>C59-C59*D59</f>
        <v>-0.06243897362751581</v>
      </c>
      <c r="F59" s="51">
        <f>ATAN(E59)*180/PI()</f>
        <v>-3.5728514134533205</v>
      </c>
      <c r="G59" s="52">
        <f>COS((45-F59)*PI()/180)/COS((45+F59)*PI()/180)</f>
        <v>0.8824610633129757</v>
      </c>
      <c r="H59" s="5"/>
    </row>
    <row r="60" spans="1:8" ht="13.5">
      <c r="A60" s="22"/>
      <c r="B60" s="53"/>
      <c r="C60" s="54">
        <f>$D$42*TAN($D$40*PI()/180)</f>
        <v>0.12487794725503161</v>
      </c>
      <c r="D60" s="49">
        <v>2</v>
      </c>
      <c r="E60" s="55">
        <f>C60-C60*D60</f>
        <v>-0.12487794725503161</v>
      </c>
      <c r="F60" s="56">
        <f>ATAN(E60)*180/PI()</f>
        <v>-7.118130724599346</v>
      </c>
      <c r="G60" s="57">
        <f>COS((45-F60)*PI()/180)/COS((45+F60)*PI()/180)</f>
        <v>0.7779706721786779</v>
      </c>
      <c r="H60" s="5"/>
    </row>
    <row r="61" spans="1:8" ht="13.5">
      <c r="A61" s="22"/>
      <c r="H61" s="5"/>
    </row>
    <row r="62" spans="1:8" ht="13.5">
      <c r="A62" s="22"/>
      <c r="B62" s="35"/>
      <c r="C62" s="36" t="s">
        <v>98</v>
      </c>
      <c r="D62" s="37"/>
      <c r="E62" s="38" t="s">
        <v>99</v>
      </c>
      <c r="F62" s="39">
        <v>0.4</v>
      </c>
      <c r="G62" s="40"/>
      <c r="H62" s="5"/>
    </row>
    <row r="63" spans="1:8" ht="13.5">
      <c r="A63" s="22"/>
      <c r="B63" s="41" t="s">
        <v>128</v>
      </c>
      <c r="C63" s="42" t="s">
        <v>129</v>
      </c>
      <c r="D63" s="43" t="s">
        <v>130</v>
      </c>
      <c r="E63" s="43" t="s">
        <v>131</v>
      </c>
      <c r="F63" s="44" t="s">
        <v>132</v>
      </c>
      <c r="G63" s="45" t="s">
        <v>122</v>
      </c>
      <c r="H63" s="5"/>
    </row>
    <row r="64" spans="1:8" ht="13.5">
      <c r="A64" s="22"/>
      <c r="B64" s="47"/>
      <c r="C64" s="48">
        <f>$F$62*TAN($D$40*PI()/180)</f>
        <v>0.1665039296733755</v>
      </c>
      <c r="D64" s="49">
        <v>0</v>
      </c>
      <c r="E64" s="50">
        <f>C64-C64*D64</f>
        <v>0.1665039296733755</v>
      </c>
      <c r="F64" s="51">
        <f>ATAN(E64)*180/PI()</f>
        <v>9.453249829658901</v>
      </c>
      <c r="G64" s="52">
        <f>COS((45-F64)*PI()/180)/COS((45+F64)*PI()/180)</f>
        <v>1.3995314089678361</v>
      </c>
      <c r="H64" s="5"/>
    </row>
    <row r="65" spans="1:8" ht="13.5">
      <c r="A65" s="22"/>
      <c r="B65" s="47"/>
      <c r="C65" s="48">
        <f>$F$62*TAN($D$40*PI()/180)</f>
        <v>0.1665039296733755</v>
      </c>
      <c r="D65" s="49">
        <v>0.5</v>
      </c>
      <c r="E65" s="50">
        <f>C65-C65*D65</f>
        <v>0.08325196483668774</v>
      </c>
      <c r="F65" s="51">
        <f>ATAN(E65)*180/PI()</f>
        <v>4.759011740332158</v>
      </c>
      <c r="G65" s="52">
        <f>COS((45-F65)*PI()/180)/COS((45+F65)*PI()/180)</f>
        <v>1.181624528536583</v>
      </c>
      <c r="H65" s="5"/>
    </row>
    <row r="66" spans="1:8" ht="13.5">
      <c r="A66" s="22"/>
      <c r="B66" s="47"/>
      <c r="C66" s="48">
        <f>$F$62*TAN($D$40*PI()/180)</f>
        <v>0.1665039296733755</v>
      </c>
      <c r="D66" s="49">
        <v>1</v>
      </c>
      <c r="E66" s="50">
        <f>C66-C66*D66</f>
        <v>0</v>
      </c>
      <c r="F66" s="51">
        <f>ATAN(E66)*180/PI()</f>
        <v>0</v>
      </c>
      <c r="G66" s="52">
        <f>COS((45-F66)*PI()/180)/COS((45+F66)*PI()/180)</f>
        <v>1</v>
      </c>
      <c r="H66" s="5"/>
    </row>
    <row r="67" spans="1:8" ht="13.5">
      <c r="A67" s="22"/>
      <c r="B67" s="47"/>
      <c r="C67" s="48">
        <f>$F$62*TAN($D$40*PI()/180)</f>
        <v>0.1665039296733755</v>
      </c>
      <c r="D67" s="49">
        <v>1.5</v>
      </c>
      <c r="E67" s="50">
        <f>C67-C67*D67</f>
        <v>-0.08325196483668776</v>
      </c>
      <c r="F67" s="51">
        <f>ATAN(E67)*180/PI()</f>
        <v>-4.75901174033216</v>
      </c>
      <c r="G67" s="52">
        <f>COS((45-F67)*PI()/180)/COS((45+F67)*PI()/180)</f>
        <v>0.8462925200431296</v>
      </c>
      <c r="H67" s="5"/>
    </row>
    <row r="68" spans="1:8" ht="13.5">
      <c r="A68" s="22"/>
      <c r="B68" s="53"/>
      <c r="C68" s="54">
        <f>$F$62*TAN($D$40*PI()/180)</f>
        <v>0.1665039296733755</v>
      </c>
      <c r="D68" s="49">
        <v>2</v>
      </c>
      <c r="E68" s="55">
        <f>C68-C68*D68</f>
        <v>-0.1665039296733755</v>
      </c>
      <c r="F68" s="56">
        <f>ATAN(E68)*180/PI()</f>
        <v>-9.453249829658901</v>
      </c>
      <c r="G68" s="57">
        <f>COS((45-F68)*PI()/180)/COS((45+F68)*PI()/180)</f>
        <v>0.7145248713907084</v>
      </c>
      <c r="H68" s="5"/>
    </row>
    <row r="70" spans="1:6" ht="13.5">
      <c r="A70" s="2" t="s">
        <v>133</v>
      </c>
      <c r="B70" s="3"/>
      <c r="C70" s="4"/>
      <c r="D70" s="2"/>
      <c r="E70" s="5"/>
      <c r="F70" s="5"/>
    </row>
    <row r="71" spans="1:7" ht="13.5">
      <c r="A71" s="1" t="s">
        <v>134</v>
      </c>
      <c r="B71" s="4" t="s">
        <v>90</v>
      </c>
      <c r="C71" s="4"/>
      <c r="D71" s="6"/>
      <c r="E71" s="58">
        <f>E74-E73</f>
        <v>212</v>
      </c>
      <c r="F71" s="4" t="s">
        <v>11</v>
      </c>
      <c r="G71" s="5"/>
    </row>
    <row r="72" spans="2:7" ht="13.5">
      <c r="B72" s="4" t="s">
        <v>24</v>
      </c>
      <c r="C72" s="4"/>
      <c r="D72" s="6"/>
      <c r="E72" s="59">
        <f>SIN(E75*PI()/180)*E74</f>
        <v>93.54942790743404</v>
      </c>
      <c r="F72" s="4" t="s">
        <v>11</v>
      </c>
      <c r="G72" s="5"/>
    </row>
    <row r="73" spans="2:7" ht="13.5">
      <c r="B73" s="4" t="s">
        <v>14</v>
      </c>
      <c r="C73" s="4"/>
      <c r="D73" s="3" t="s">
        <v>10</v>
      </c>
      <c r="E73" s="60">
        <v>18</v>
      </c>
      <c r="F73" s="5" t="s">
        <v>11</v>
      </c>
      <c r="G73" s="5"/>
    </row>
    <row r="74" spans="2:7" ht="13.5">
      <c r="B74" s="4" t="s">
        <v>16</v>
      </c>
      <c r="C74" s="4"/>
      <c r="D74" s="3" t="s">
        <v>17</v>
      </c>
      <c r="E74" s="61">
        <v>230</v>
      </c>
      <c r="F74" s="5" t="s">
        <v>11</v>
      </c>
      <c r="G74" s="5"/>
    </row>
    <row r="75" spans="2:6" ht="13.5">
      <c r="B75" s="5" t="s">
        <v>19</v>
      </c>
      <c r="C75" s="5"/>
      <c r="D75" s="6" t="s">
        <v>20</v>
      </c>
      <c r="E75" s="61">
        <v>24</v>
      </c>
      <c r="F75" s="5" t="s">
        <v>91</v>
      </c>
    </row>
    <row r="76" spans="2:6" ht="14.25">
      <c r="B76" s="5" t="s">
        <v>93</v>
      </c>
      <c r="C76" s="5"/>
      <c r="D76" s="6" t="s">
        <v>94</v>
      </c>
      <c r="E76" s="11">
        <v>2</v>
      </c>
      <c r="F76" s="5" t="s">
        <v>95</v>
      </c>
    </row>
    <row r="77" spans="2:7" ht="14.25">
      <c r="B77" s="5" t="s">
        <v>98</v>
      </c>
      <c r="D77" s="6" t="s">
        <v>99</v>
      </c>
      <c r="E77" s="14">
        <v>0.3</v>
      </c>
      <c r="F77" s="5"/>
      <c r="G77" s="5"/>
    </row>
    <row r="78" spans="2:7" ht="13.5">
      <c r="B78" s="5" t="s">
        <v>102</v>
      </c>
      <c r="D78" s="6" t="s">
        <v>103</v>
      </c>
      <c r="E78" s="62">
        <f>E76*E77</f>
        <v>0.6</v>
      </c>
      <c r="F78" s="5" t="s">
        <v>95</v>
      </c>
      <c r="G78" s="5"/>
    </row>
    <row r="79" spans="2:7" ht="13.5">
      <c r="B79" s="6"/>
      <c r="C79" s="6"/>
      <c r="D79" s="5"/>
      <c r="E79" s="5"/>
      <c r="F79" s="5"/>
      <c r="G79" s="5"/>
    </row>
    <row r="80" spans="1:7" ht="14.25">
      <c r="A80" s="1" t="s">
        <v>135</v>
      </c>
      <c r="B80" s="5" t="s">
        <v>136</v>
      </c>
      <c r="C80" s="5"/>
      <c r="D80" s="6"/>
      <c r="E80" s="63">
        <v>0.8</v>
      </c>
      <c r="F80" s="5" t="s">
        <v>137</v>
      </c>
      <c r="G80" s="5"/>
    </row>
    <row r="81" spans="2:7" ht="14.25">
      <c r="B81" s="5" t="s">
        <v>138</v>
      </c>
      <c r="C81" s="5"/>
      <c r="D81" s="6"/>
      <c r="E81" s="14">
        <v>25</v>
      </c>
      <c r="F81" s="5" t="s">
        <v>139</v>
      </c>
      <c r="G81" s="5"/>
    </row>
    <row r="82" spans="1:5" ht="13.5">
      <c r="A82" s="18"/>
      <c r="B82" s="18"/>
      <c r="E82" s="17"/>
    </row>
    <row r="83" spans="1:5" ht="13.5">
      <c r="A83" s="18"/>
      <c r="B83" s="18"/>
      <c r="C83" s="1" t="s">
        <v>140</v>
      </c>
      <c r="D83" s="1" t="s">
        <v>141</v>
      </c>
      <c r="E83" s="17"/>
    </row>
    <row r="84" spans="2:9" ht="13.5">
      <c r="B84" s="6" t="s">
        <v>112</v>
      </c>
      <c r="C84" s="5" t="s">
        <v>142</v>
      </c>
      <c r="D84" s="1" t="s">
        <v>143</v>
      </c>
      <c r="E84" s="1" t="s">
        <v>144</v>
      </c>
      <c r="F84" s="64" t="s">
        <v>145</v>
      </c>
      <c r="G84" s="65" t="s">
        <v>146</v>
      </c>
      <c r="H84" s="66" t="s">
        <v>147</v>
      </c>
      <c r="I84" s="65" t="s">
        <v>146</v>
      </c>
    </row>
    <row r="85" spans="1:9" ht="13.5">
      <c r="A85" s="3"/>
      <c r="B85" s="6" t="s">
        <v>118</v>
      </c>
      <c r="C85" s="2" t="s">
        <v>119</v>
      </c>
      <c r="D85" s="1" t="s">
        <v>148</v>
      </c>
      <c r="E85" s="1" t="s">
        <v>149</v>
      </c>
      <c r="F85" s="67" t="s">
        <v>150</v>
      </c>
      <c r="G85" s="68" t="s">
        <v>151</v>
      </c>
      <c r="H85" s="67" t="s">
        <v>152</v>
      </c>
      <c r="I85" s="68" t="s">
        <v>151</v>
      </c>
    </row>
    <row r="86" spans="1:9" ht="13.5">
      <c r="A86" s="3" t="s">
        <v>117</v>
      </c>
      <c r="B86" s="3" t="s">
        <v>124</v>
      </c>
      <c r="C86" s="69" t="s">
        <v>95</v>
      </c>
      <c r="D86" s="1" t="s">
        <v>91</v>
      </c>
      <c r="E86" s="1" t="s">
        <v>91</v>
      </c>
      <c r="F86" s="67" t="s">
        <v>91</v>
      </c>
      <c r="G86" s="68" t="s">
        <v>153</v>
      </c>
      <c r="H86" s="67" t="s">
        <v>91</v>
      </c>
      <c r="I86" s="68" t="s">
        <v>153</v>
      </c>
    </row>
    <row r="87" spans="1:9" ht="13.5">
      <c r="A87" s="28">
        <v>57.5</v>
      </c>
      <c r="B87" s="29">
        <f>ASIN(A87/2/$E$74+$E$74/A87*($E$73/$E$74-0.5*($E$73/$E$74)^2))*180/PI()</f>
        <v>25.20092826401944</v>
      </c>
      <c r="C87" s="70">
        <f>$E$78*TAN(B87*PI()/180)</f>
        <v>0.282350442050633</v>
      </c>
      <c r="D87" s="71">
        <f>DEGREES(ASIN($E$78*SIN(B87*PI()/180)*980*$E$81/10^6/$E$80))</f>
        <v>0.4482846811489416</v>
      </c>
      <c r="E87" s="71">
        <f>$E$75-D87</f>
        <v>23.55171531885106</v>
      </c>
      <c r="F87" s="72">
        <f aca="true" t="shared" si="14" ref="F87:F123">E87-B87</f>
        <v>-1.6492129451683795</v>
      </c>
      <c r="G87" s="73">
        <f>ABS(50*F87)/A87</f>
        <v>1.4340982131898952</v>
      </c>
      <c r="H87" s="74">
        <f aca="true" t="shared" si="15" ref="H87:H123">$E$75-B87</f>
        <v>-1.2009282640194385</v>
      </c>
      <c r="I87" s="73">
        <f>ABS(50*H87)/A87</f>
        <v>1.0442854469734248</v>
      </c>
    </row>
    <row r="88" spans="1:9" ht="13.5">
      <c r="A88" s="28">
        <v>60</v>
      </c>
      <c r="B88" s="29">
        <f aca="true" t="shared" si="16" ref="B88:B123">ASIN(A88/2/$E$74+$E$74/A88*($E$73/$E$74-0.5*($E$73/$E$74)^2))*180/PI()</f>
        <v>24.752265915674524</v>
      </c>
      <c r="C88" s="70">
        <f aca="true" t="shared" si="17" ref="C88:C123">$E$78*TAN(B88*PI()/180)</f>
        <v>0.2766325607612339</v>
      </c>
      <c r="D88" s="71">
        <f aca="true" t="shared" si="18" ref="D88:D123">DEGREES(ASIN($E$78*SIN(B88*PI()/180)*980*$E$81/10^6/$E$80))</f>
        <v>0.44081129673352903</v>
      </c>
      <c r="E88" s="71">
        <f aca="true" t="shared" si="19" ref="E88:E123">$E$75-D88</f>
        <v>23.55918870326647</v>
      </c>
      <c r="F88" s="72">
        <f t="shared" si="14"/>
        <v>-1.1930772124080526</v>
      </c>
      <c r="G88" s="73">
        <f aca="true" t="shared" si="20" ref="G88:G123">ABS(50*F88)/A88</f>
        <v>0.9942310103400439</v>
      </c>
      <c r="H88" s="74">
        <f t="shared" si="15"/>
        <v>-0.7522659156745242</v>
      </c>
      <c r="I88" s="73">
        <f aca="true" t="shared" si="21" ref="I88:I123">ABS(50*H88)/A88</f>
        <v>0.6268882630621034</v>
      </c>
    </row>
    <row r="89" spans="1:9" ht="13.5">
      <c r="A89" s="28">
        <v>62.5</v>
      </c>
      <c r="B89" s="29">
        <f t="shared" si="16"/>
        <v>24.368267717209733</v>
      </c>
      <c r="C89" s="70">
        <f t="shared" si="17"/>
        <v>0.2717714940961864</v>
      </c>
      <c r="D89" s="71">
        <f t="shared" si="18"/>
        <v>0.4343935462962144</v>
      </c>
      <c r="E89" s="71">
        <f t="shared" si="19"/>
        <v>23.565606453703786</v>
      </c>
      <c r="F89" s="72">
        <f aca="true" t="shared" si="22" ref="F89:F106">E89-B89</f>
        <v>-0.8026612635059465</v>
      </c>
      <c r="G89" s="73">
        <f t="shared" si="20"/>
        <v>0.6421290108047571</v>
      </c>
      <c r="H89" s="74">
        <f aca="true" t="shared" si="23" ref="H89:H106">$E$75-B89</f>
        <v>-0.36826771720973284</v>
      </c>
      <c r="I89" s="73">
        <f t="shared" si="21"/>
        <v>0.29461417376778626</v>
      </c>
    </row>
    <row r="90" spans="1:9" ht="13.5">
      <c r="A90" s="28">
        <v>65</v>
      </c>
      <c r="B90" s="29">
        <f t="shared" si="16"/>
        <v>24.041065626819066</v>
      </c>
      <c r="C90" s="70">
        <f t="shared" si="17"/>
        <v>0.26765265986640097</v>
      </c>
      <c r="D90" s="71">
        <f t="shared" si="18"/>
        <v>0.42890962406706673</v>
      </c>
      <c r="E90" s="71">
        <f t="shared" si="19"/>
        <v>23.571090375932933</v>
      </c>
      <c r="F90" s="72">
        <f t="shared" si="22"/>
        <v>-0.469975250886133</v>
      </c>
      <c r="G90" s="73">
        <f aca="true" t="shared" si="24" ref="G90:G106">ABS(50*F90)/A90</f>
        <v>0.36151942375856383</v>
      </c>
      <c r="H90" s="74">
        <f t="shared" si="23"/>
        <v>-0.04106562681906567</v>
      </c>
      <c r="I90" s="73">
        <f aca="true" t="shared" si="25" ref="I90:I106">ABS(50*H90)/A90</f>
        <v>0.03158894370697359</v>
      </c>
    </row>
    <row r="91" spans="1:9" ht="13.5">
      <c r="A91" s="28">
        <v>67.5</v>
      </c>
      <c r="B91" s="29">
        <f t="shared" si="16"/>
        <v>23.764042813051717</v>
      </c>
      <c r="C91" s="70">
        <f t="shared" si="17"/>
        <v>0.2641818648678945</v>
      </c>
      <c r="D91" s="71">
        <f t="shared" si="18"/>
        <v>0.42425576994505915</v>
      </c>
      <c r="E91" s="71">
        <f t="shared" si="19"/>
        <v>23.57574423005494</v>
      </c>
      <c r="F91" s="72">
        <f t="shared" si="22"/>
        <v>-0.18829858299677582</v>
      </c>
      <c r="G91" s="73">
        <f t="shared" si="24"/>
        <v>0.13948043184946357</v>
      </c>
      <c r="H91" s="74">
        <f t="shared" si="23"/>
        <v>0.2359571869482835</v>
      </c>
      <c r="I91" s="73">
        <f t="shared" si="25"/>
        <v>0.17478310144317297</v>
      </c>
    </row>
    <row r="92" spans="1:9" ht="13.5">
      <c r="A92" s="28">
        <v>70</v>
      </c>
      <c r="B92" s="29">
        <f t="shared" si="16"/>
        <v>23.53159184161425</v>
      </c>
      <c r="C92" s="70">
        <f t="shared" si="17"/>
        <v>0.2612808954669336</v>
      </c>
      <c r="D92" s="71">
        <f t="shared" si="18"/>
        <v>0.42034304698392433</v>
      </c>
      <c r="E92" s="71">
        <f t="shared" si="19"/>
        <v>23.579656953016077</v>
      </c>
      <c r="F92" s="72">
        <f t="shared" si="22"/>
        <v>0.04806511140182579</v>
      </c>
      <c r="G92" s="73">
        <f t="shared" si="24"/>
        <v>0.03433222242987556</v>
      </c>
      <c r="H92" s="74">
        <f t="shared" si="23"/>
        <v>0.4684081583857491</v>
      </c>
      <c r="I92" s="73">
        <f t="shared" si="25"/>
        <v>0.3345772559898208</v>
      </c>
    </row>
    <row r="93" spans="1:9" ht="13.5">
      <c r="A93" s="28">
        <v>72.5</v>
      </c>
      <c r="B93" s="29">
        <f t="shared" si="16"/>
        <v>23.33892747613038</v>
      </c>
      <c r="C93" s="70">
        <f t="shared" si="17"/>
        <v>0.2588842212930979</v>
      </c>
      <c r="D93" s="71">
        <f t="shared" si="18"/>
        <v>0.41709478562184565</v>
      </c>
      <c r="E93" s="71">
        <f t="shared" si="19"/>
        <v>23.582905214378155</v>
      </c>
      <c r="F93" s="72">
        <f t="shared" si="22"/>
        <v>0.24397773824777502</v>
      </c>
      <c r="G93" s="73">
        <f t="shared" si="24"/>
        <v>0.16826050913639656</v>
      </c>
      <c r="H93" s="74">
        <f t="shared" si="23"/>
        <v>0.6610725238696205</v>
      </c>
      <c r="I93" s="73">
        <f t="shared" si="25"/>
        <v>0.4559120854273245</v>
      </c>
    </row>
    <row r="94" spans="1:9" ht="13.5">
      <c r="A94" s="28">
        <v>75</v>
      </c>
      <c r="B94" s="29">
        <f t="shared" si="16"/>
        <v>23.181940080190756</v>
      </c>
      <c r="C94" s="70">
        <f t="shared" si="17"/>
        <v>0.2569364940625495</v>
      </c>
      <c r="D94" s="71">
        <f t="shared" si="18"/>
        <v>0.41444453907717516</v>
      </c>
      <c r="E94" s="71">
        <f t="shared" si="19"/>
        <v>23.585555460922826</v>
      </c>
      <c r="F94" s="72">
        <f t="shared" si="22"/>
        <v>0.40361538073207015</v>
      </c>
      <c r="G94" s="73">
        <f t="shared" si="24"/>
        <v>0.26907692048804677</v>
      </c>
      <c r="H94" s="74">
        <f t="shared" si="23"/>
        <v>0.8180599198092438</v>
      </c>
      <c r="I94" s="73">
        <f t="shared" si="25"/>
        <v>0.5453732798728291</v>
      </c>
    </row>
    <row r="95" spans="1:9" ht="13.5">
      <c r="A95" s="28">
        <v>77.5</v>
      </c>
      <c r="B95" s="29">
        <f t="shared" si="16"/>
        <v>23.057079609217645</v>
      </c>
      <c r="C95" s="70">
        <f t="shared" si="17"/>
        <v>0.25539062411087765</v>
      </c>
      <c r="D95" s="71">
        <f t="shared" si="18"/>
        <v>0.4123344344826526</v>
      </c>
      <c r="E95" s="71">
        <f t="shared" si="19"/>
        <v>23.587665565517348</v>
      </c>
      <c r="F95" s="72">
        <f t="shared" si="22"/>
        <v>0.5305859562997028</v>
      </c>
      <c r="G95" s="73">
        <f t="shared" si="24"/>
        <v>0.34231352019335665</v>
      </c>
      <c r="H95" s="74">
        <f t="shared" si="23"/>
        <v>0.9429203907823549</v>
      </c>
      <c r="I95" s="73">
        <f t="shared" si="25"/>
        <v>0.608335735988616</v>
      </c>
    </row>
    <row r="96" spans="1:9" ht="13.5">
      <c r="A96" s="28">
        <v>80</v>
      </c>
      <c r="B96" s="29">
        <f t="shared" si="16"/>
        <v>22.961262930217927</v>
      </c>
      <c r="C96" s="70">
        <f t="shared" si="17"/>
        <v>0.2542062831431817</v>
      </c>
      <c r="D96" s="71">
        <f t="shared" si="18"/>
        <v>0.4107138331882707</v>
      </c>
      <c r="E96" s="71">
        <f t="shared" si="19"/>
        <v>23.58928616681173</v>
      </c>
      <c r="F96" s="72">
        <f t="shared" si="22"/>
        <v>0.6280232365938012</v>
      </c>
      <c r="G96" s="73">
        <f t="shared" si="24"/>
        <v>0.39251452287112576</v>
      </c>
      <c r="H96" s="74">
        <f t="shared" si="23"/>
        <v>1.0387370697820728</v>
      </c>
      <c r="I96" s="73">
        <f t="shared" si="25"/>
        <v>0.6492106686137955</v>
      </c>
    </row>
    <row r="97" spans="1:9" ht="13.5">
      <c r="A97" s="28">
        <v>82.5</v>
      </c>
      <c r="B97" s="29">
        <f t="shared" si="16"/>
        <v>22.8917991290691</v>
      </c>
      <c r="C97" s="70">
        <f t="shared" si="17"/>
        <v>0.25334872583163975</v>
      </c>
      <c r="D97" s="71">
        <f t="shared" si="18"/>
        <v>0.409538234650096</v>
      </c>
      <c r="E97" s="71">
        <f t="shared" si="19"/>
        <v>23.590461765349904</v>
      </c>
      <c r="F97" s="72">
        <f t="shared" si="22"/>
        <v>0.6986626362808046</v>
      </c>
      <c r="G97" s="73">
        <f t="shared" si="24"/>
        <v>0.4234319007762452</v>
      </c>
      <c r="H97" s="74">
        <f t="shared" si="23"/>
        <v>1.1082008709309008</v>
      </c>
      <c r="I97" s="73">
        <f t="shared" si="25"/>
        <v>0.6716368914732732</v>
      </c>
    </row>
    <row r="98" spans="1:9" ht="13.5">
      <c r="A98" s="28">
        <v>85</v>
      </c>
      <c r="B98" s="29">
        <f t="shared" si="16"/>
        <v>22.846328828606723</v>
      </c>
      <c r="C98" s="70">
        <f t="shared" si="17"/>
        <v>0.2527878529751157</v>
      </c>
      <c r="D98" s="71">
        <f t="shared" si="18"/>
        <v>0.4087683737539503</v>
      </c>
      <c r="E98" s="71">
        <f t="shared" si="19"/>
        <v>23.59123162624605</v>
      </c>
      <c r="F98" s="72">
        <f t="shared" si="22"/>
        <v>0.7449027976393268</v>
      </c>
      <c r="G98" s="73">
        <f t="shared" si="24"/>
        <v>0.4381781162584275</v>
      </c>
      <c r="H98" s="74">
        <f t="shared" si="23"/>
        <v>1.1536711713932775</v>
      </c>
      <c r="I98" s="73">
        <f t="shared" si="25"/>
        <v>0.678630100819575</v>
      </c>
    </row>
    <row r="99" spans="1:9" ht="13.5">
      <c r="A99" s="28">
        <v>87.5</v>
      </c>
      <c r="B99" s="29">
        <f t="shared" si="16"/>
        <v>22.822774522054583</v>
      </c>
      <c r="C99" s="70">
        <f t="shared" si="17"/>
        <v>0.2524974597986059</v>
      </c>
      <c r="D99" s="71">
        <f t="shared" si="18"/>
        <v>0.40836947288621855</v>
      </c>
      <c r="E99" s="71">
        <f t="shared" si="19"/>
        <v>23.591630527113782</v>
      </c>
      <c r="F99" s="72">
        <f t="shared" si="22"/>
        <v>0.7688560050591988</v>
      </c>
      <c r="G99" s="73">
        <f t="shared" si="24"/>
        <v>0.4393462886052565</v>
      </c>
      <c r="H99" s="74">
        <f t="shared" si="23"/>
        <v>1.1772254779454165</v>
      </c>
      <c r="I99" s="73">
        <f t="shared" si="25"/>
        <v>0.6727002731116666</v>
      </c>
    </row>
    <row r="100" spans="1:9" ht="13.5">
      <c r="A100" s="28">
        <v>90</v>
      </c>
      <c r="B100" s="29">
        <f t="shared" si="16"/>
        <v>22.81929964154936</v>
      </c>
      <c r="C100" s="70">
        <f t="shared" si="17"/>
        <v>0.25245462766483734</v>
      </c>
      <c r="D100" s="71">
        <f t="shared" si="18"/>
        <v>0.4083106186615081</v>
      </c>
      <c r="E100" s="71">
        <f t="shared" si="19"/>
        <v>23.59168938133849</v>
      </c>
      <c r="F100" s="72">
        <f t="shared" si="22"/>
        <v>0.77238973978913</v>
      </c>
      <c r="G100" s="73">
        <f t="shared" si="24"/>
        <v>0.4291054109939611</v>
      </c>
      <c r="H100" s="74">
        <f t="shared" si="23"/>
        <v>1.1807003584506397</v>
      </c>
      <c r="I100" s="73">
        <f t="shared" si="25"/>
        <v>0.6559446435836888</v>
      </c>
    </row>
    <row r="101" spans="1:9" ht="13.5">
      <c r="A101" s="28">
        <v>92.5</v>
      </c>
      <c r="B101" s="29">
        <f t="shared" si="16"/>
        <v>22.834274608962534</v>
      </c>
      <c r="C101" s="70">
        <f t="shared" si="17"/>
        <v>0.25263922796825955</v>
      </c>
      <c r="D101" s="71">
        <f t="shared" si="18"/>
        <v>0.4085642397230178</v>
      </c>
      <c r="E101" s="71">
        <f t="shared" si="19"/>
        <v>23.591435760276983</v>
      </c>
      <c r="F101" s="72">
        <f t="shared" si="22"/>
        <v>0.7571611513144489</v>
      </c>
      <c r="G101" s="73">
        <f t="shared" si="24"/>
        <v>0.40927629800781024</v>
      </c>
      <c r="H101" s="74">
        <f t="shared" si="23"/>
        <v>1.1657253910374656</v>
      </c>
      <c r="I101" s="73">
        <f t="shared" si="25"/>
        <v>0.6301218329932247</v>
      </c>
    </row>
    <row r="102" spans="1:9" ht="13.5">
      <c r="A102" s="28">
        <v>95</v>
      </c>
      <c r="B102" s="29">
        <f t="shared" si="16"/>
        <v>22.86624850944962</v>
      </c>
      <c r="C102" s="70">
        <f t="shared" si="17"/>
        <v>0.2530335145804058</v>
      </c>
      <c r="D102" s="71">
        <f t="shared" si="18"/>
        <v>0.40910566699665457</v>
      </c>
      <c r="E102" s="71">
        <f t="shared" si="19"/>
        <v>23.590894333003344</v>
      </c>
      <c r="F102" s="72">
        <f t="shared" si="22"/>
        <v>0.7246458235537254</v>
      </c>
      <c r="G102" s="73">
        <f t="shared" si="24"/>
        <v>0.3813925387124871</v>
      </c>
      <c r="H102" s="74">
        <f t="shared" si="23"/>
        <v>1.133751490550381</v>
      </c>
      <c r="I102" s="73">
        <f t="shared" si="25"/>
        <v>0.5967113108159899</v>
      </c>
    </row>
    <row r="103" spans="1:9" ht="13.5">
      <c r="A103" s="28">
        <v>97.5</v>
      </c>
      <c r="B103" s="29">
        <f t="shared" si="16"/>
        <v>22.913925324280207</v>
      </c>
      <c r="C103" s="70">
        <f t="shared" si="17"/>
        <v>0.25362178678274055</v>
      </c>
      <c r="D103" s="71">
        <f t="shared" si="18"/>
        <v>0.40991276159927187</v>
      </c>
      <c r="E103" s="71">
        <f t="shared" si="19"/>
        <v>23.590087238400727</v>
      </c>
      <c r="F103" s="72">
        <f t="shared" si="22"/>
        <v>0.6761619141205202</v>
      </c>
      <c r="G103" s="73">
        <f t="shared" si="24"/>
        <v>0.3467496995489847</v>
      </c>
      <c r="H103" s="74">
        <f t="shared" si="23"/>
        <v>1.086074675719793</v>
      </c>
      <c r="I103" s="73">
        <f t="shared" si="25"/>
        <v>0.5569613721639964</v>
      </c>
    </row>
    <row r="104" spans="1:9" ht="13.5">
      <c r="A104" s="28">
        <v>100</v>
      </c>
      <c r="B104" s="29">
        <f t="shared" si="16"/>
        <v>22.976143884595327</v>
      </c>
      <c r="C104" s="70">
        <f t="shared" si="17"/>
        <v>0.2543901087478318</v>
      </c>
      <c r="D104" s="71">
        <f t="shared" si="18"/>
        <v>0.41096559856138754</v>
      </c>
      <c r="E104" s="71">
        <f t="shared" si="19"/>
        <v>23.589034401438614</v>
      </c>
      <c r="F104" s="72">
        <f t="shared" si="22"/>
        <v>0.6128905168432865</v>
      </c>
      <c r="G104" s="73">
        <f t="shared" si="24"/>
        <v>0.3064452584216433</v>
      </c>
      <c r="H104" s="74">
        <f t="shared" si="23"/>
        <v>1.0238561154046728</v>
      </c>
      <c r="I104" s="73">
        <f t="shared" si="25"/>
        <v>0.5119280577023364</v>
      </c>
    </row>
    <row r="105" spans="1:9" ht="13.5">
      <c r="A105" s="28">
        <v>102.5</v>
      </c>
      <c r="B105" s="29">
        <f t="shared" si="16"/>
        <v>23.051860880336616</v>
      </c>
      <c r="C105" s="70">
        <f t="shared" si="17"/>
        <v>0.2553260747177147</v>
      </c>
      <c r="D105" s="71">
        <f t="shared" si="18"/>
        <v>0.412246196834943</v>
      </c>
      <c r="E105" s="71">
        <f t="shared" si="19"/>
        <v>23.587753803165057</v>
      </c>
      <c r="F105" s="72">
        <f t="shared" si="22"/>
        <v>0.5358929228284417</v>
      </c>
      <c r="G105" s="73">
        <f t="shared" si="24"/>
        <v>0.26141118186753254</v>
      </c>
      <c r="H105" s="74">
        <f t="shared" si="23"/>
        <v>0.9481391196633844</v>
      </c>
      <c r="I105" s="73">
        <f t="shared" si="25"/>
        <v>0.4625068876406753</v>
      </c>
    </row>
    <row r="106" spans="1:9" ht="13.5">
      <c r="A106" s="28">
        <v>105</v>
      </c>
      <c r="B106" s="29">
        <f t="shared" si="16"/>
        <v>23.140136392020196</v>
      </c>
      <c r="C106" s="70">
        <f t="shared" si="17"/>
        <v>0.2564186113627664</v>
      </c>
      <c r="D106" s="71">
        <f t="shared" si="18"/>
        <v>0.4137382878718271</v>
      </c>
      <c r="E106" s="71">
        <f t="shared" si="19"/>
        <v>23.586261712128174</v>
      </c>
      <c r="F106" s="72">
        <f t="shared" si="22"/>
        <v>0.4461253201079778</v>
      </c>
      <c r="G106" s="73">
        <f t="shared" si="24"/>
        <v>0.21244062862284657</v>
      </c>
      <c r="H106" s="74">
        <f t="shared" si="23"/>
        <v>0.8598636079798041</v>
      </c>
      <c r="I106" s="73">
        <f t="shared" si="25"/>
        <v>0.40945886094276385</v>
      </c>
    </row>
    <row r="107" spans="1:9" ht="13.5">
      <c r="A107" s="28">
        <v>107.5</v>
      </c>
      <c r="B107" s="29">
        <f t="shared" si="16"/>
        <v>23.240121516966667</v>
      </c>
      <c r="C107" s="70">
        <f t="shared" si="17"/>
        <v>0.25765781058526144</v>
      </c>
      <c r="D107" s="71">
        <f t="shared" si="18"/>
        <v>0.41542711649412517</v>
      </c>
      <c r="E107" s="71">
        <f t="shared" si="19"/>
        <v>23.584572883505874</v>
      </c>
      <c r="F107" s="72">
        <f t="shared" si="14"/>
        <v>0.34445136653920727</v>
      </c>
      <c r="G107" s="73">
        <f t="shared" si="20"/>
        <v>0.16020993792521268</v>
      </c>
      <c r="H107" s="74">
        <f t="shared" si="15"/>
        <v>0.7598784830333329</v>
      </c>
      <c r="I107" s="73">
        <f t="shared" si="21"/>
        <v>0.35343185257364323</v>
      </c>
    </row>
    <row r="108" spans="1:9" ht="13.5">
      <c r="A108" s="28">
        <v>110</v>
      </c>
      <c r="B108" s="29">
        <f t="shared" si="16"/>
        <v>23.35104774314755</v>
      </c>
      <c r="C108" s="70">
        <f t="shared" si="17"/>
        <v>0.25903478740188035</v>
      </c>
      <c r="D108" s="71">
        <f t="shared" si="18"/>
        <v>0.41729926891870667</v>
      </c>
      <c r="E108" s="71">
        <f t="shared" si="19"/>
        <v>23.582700731081292</v>
      </c>
      <c r="F108" s="72">
        <f t="shared" si="14"/>
        <v>0.23165298793374234</v>
      </c>
      <c r="G108" s="73">
        <f t="shared" si="20"/>
        <v>0.10529681269715561</v>
      </c>
      <c r="H108" s="74">
        <f t="shared" si="15"/>
        <v>0.64895225685245</v>
      </c>
      <c r="I108" s="73">
        <f t="shared" si="21"/>
        <v>0.2949782985692954</v>
      </c>
    </row>
    <row r="109" spans="1:9" ht="13.5">
      <c r="A109" s="28">
        <v>112.5</v>
      </c>
      <c r="B109" s="29">
        <f t="shared" si="16"/>
        <v>23.472217788224658</v>
      </c>
      <c r="C109" s="70">
        <f t="shared" si="17"/>
        <v>0.26054155860198275</v>
      </c>
      <c r="D109" s="71">
        <f t="shared" si="18"/>
        <v>0.4193425237121005</v>
      </c>
      <c r="E109" s="71">
        <f t="shared" si="19"/>
        <v>23.5806574762879</v>
      </c>
      <c r="F109" s="72">
        <f t="shared" si="14"/>
        <v>0.10843968806324256</v>
      </c>
      <c r="G109" s="73">
        <f t="shared" si="20"/>
        <v>0.04819541691699669</v>
      </c>
      <c r="H109" s="74">
        <f t="shared" si="15"/>
        <v>0.5277822117753423</v>
      </c>
      <c r="I109" s="73">
        <f t="shared" si="21"/>
        <v>0.23456987190015216</v>
      </c>
    </row>
    <row r="110" spans="1:9" ht="13.5">
      <c r="A110" s="28">
        <v>115</v>
      </c>
      <c r="B110" s="29">
        <f t="shared" si="16"/>
        <v>23.60299767256604</v>
      </c>
      <c r="C110" s="70">
        <f t="shared" si="17"/>
        <v>0.26217093870863944</v>
      </c>
      <c r="D110" s="71">
        <f t="shared" si="18"/>
        <v>0.42154572218622244</v>
      </c>
      <c r="E110" s="71">
        <f t="shared" si="19"/>
        <v>23.578454277813776</v>
      </c>
      <c r="F110" s="72">
        <f t="shared" si="14"/>
        <v>-0.02454339475226419</v>
      </c>
      <c r="G110" s="73">
        <f t="shared" si="20"/>
        <v>0.010671041196636605</v>
      </c>
      <c r="H110" s="74">
        <f t="shared" si="15"/>
        <v>0.3970023274339596</v>
      </c>
      <c r="I110" s="73">
        <f t="shared" si="21"/>
        <v>0.17260970757998242</v>
      </c>
    </row>
    <row r="111" spans="1:9" ht="13.5">
      <c r="A111" s="28">
        <v>117.5</v>
      </c>
      <c r="B111" s="29">
        <f t="shared" si="16"/>
        <v>23.742809835975144</v>
      </c>
      <c r="C111" s="70">
        <f t="shared" si="17"/>
        <v>0.2639164504226701</v>
      </c>
      <c r="D111" s="71">
        <f t="shared" si="18"/>
        <v>0.42389865533947974</v>
      </c>
      <c r="E111" s="71">
        <f t="shared" si="19"/>
        <v>23.576101344660522</v>
      </c>
      <c r="F111" s="72">
        <f t="shared" si="14"/>
        <v>-0.16670849131462262</v>
      </c>
      <c r="G111" s="73">
        <f t="shared" si="20"/>
        <v>0.07093978353813729</v>
      </c>
      <c r="H111" s="74">
        <f t="shared" si="15"/>
        <v>0.2571901640248555</v>
      </c>
      <c r="I111" s="73">
        <f t="shared" si="21"/>
        <v>0.10944262298930021</v>
      </c>
    </row>
    <row r="112" spans="1:9" ht="13.5">
      <c r="A112" s="28">
        <v>120</v>
      </c>
      <c r="B112" s="29">
        <f t="shared" si="16"/>
        <v>23.891127140808894</v>
      </c>
      <c r="C112" s="70">
        <f t="shared" si="17"/>
        <v>0.2657722472473755</v>
      </c>
      <c r="D112" s="71">
        <f t="shared" si="18"/>
        <v>0.4263919649303623</v>
      </c>
      <c r="E112" s="71">
        <f t="shared" si="19"/>
        <v>23.573608035069636</v>
      </c>
      <c r="F112" s="72">
        <f t="shared" si="14"/>
        <v>-0.3175191057392581</v>
      </c>
      <c r="G112" s="73">
        <f t="shared" si="20"/>
        <v>0.13229962739135756</v>
      </c>
      <c r="H112" s="74">
        <f t="shared" si="15"/>
        <v>0.10887285919110568</v>
      </c>
      <c r="I112" s="73">
        <f t="shared" si="21"/>
        <v>0.045363691329627365</v>
      </c>
    </row>
    <row r="113" spans="1:9" ht="13.5">
      <c r="A113" s="28">
        <v>122.5</v>
      </c>
      <c r="B113" s="29">
        <f t="shared" si="16"/>
        <v>24.047467630796987</v>
      </c>
      <c r="C113" s="70">
        <f t="shared" si="17"/>
        <v>0.2677330464041135</v>
      </c>
      <c r="D113" s="71">
        <f t="shared" si="18"/>
        <v>0.4290170566645731</v>
      </c>
      <c r="E113" s="71">
        <f t="shared" si="19"/>
        <v>23.570982943335427</v>
      </c>
      <c r="F113" s="72">
        <f t="shared" si="14"/>
        <v>-0.4764846874615607</v>
      </c>
      <c r="G113" s="73">
        <f t="shared" si="20"/>
        <v>0.19448354590267783</v>
      </c>
      <c r="H113" s="74">
        <f t="shared" si="15"/>
        <v>-0.04746763079698724</v>
      </c>
      <c r="I113" s="73">
        <f t="shared" si="21"/>
        <v>0.01937454318244377</v>
      </c>
    </row>
    <row r="114" spans="1:9" ht="13.5">
      <c r="A114" s="28">
        <v>125</v>
      </c>
      <c r="B114" s="29">
        <f t="shared" si="16"/>
        <v>24.2113899365259</v>
      </c>
      <c r="C114" s="70">
        <f t="shared" si="17"/>
        <v>0.2697940704796041</v>
      </c>
      <c r="D114" s="71">
        <f t="shared" si="18"/>
        <v>0.43176602379978646</v>
      </c>
      <c r="E114" s="71">
        <f t="shared" si="19"/>
        <v>23.568233976200215</v>
      </c>
      <c r="F114" s="72">
        <f t="shared" si="14"/>
        <v>-0.6431559603256858</v>
      </c>
      <c r="G114" s="73">
        <f t="shared" si="20"/>
        <v>0.2572623841302743</v>
      </c>
      <c r="H114" s="74">
        <f t="shared" si="15"/>
        <v>-0.21138993652590088</v>
      </c>
      <c r="I114" s="73">
        <f t="shared" si="21"/>
        <v>0.08455597461036035</v>
      </c>
    </row>
    <row r="115" spans="1:9" ht="13.5">
      <c r="A115" s="28">
        <v>127.5</v>
      </c>
      <c r="B115" s="29">
        <f t="shared" si="16"/>
        <v>24.382489236235454</v>
      </c>
      <c r="C115" s="70">
        <f t="shared" si="17"/>
        <v>0.2719509965125566</v>
      </c>
      <c r="D115" s="71">
        <f t="shared" si="18"/>
        <v>0.4346315797381503</v>
      </c>
      <c r="E115" s="71">
        <f t="shared" si="19"/>
        <v>23.56536842026185</v>
      </c>
      <c r="F115" s="72">
        <f t="shared" si="14"/>
        <v>-0.8171208159736025</v>
      </c>
      <c r="G115" s="73">
        <f t="shared" si="20"/>
        <v>0.32043953567592254</v>
      </c>
      <c r="H115" s="74">
        <f t="shared" si="15"/>
        <v>-0.38248923623545394</v>
      </c>
      <c r="I115" s="73">
        <f t="shared" si="21"/>
        <v>0.1499957789158643</v>
      </c>
    </row>
    <row r="116" spans="1:9" ht="13.5">
      <c r="A116" s="28">
        <v>130</v>
      </c>
      <c r="B116" s="29">
        <f t="shared" si="16"/>
        <v>24.560393695087836</v>
      </c>
      <c r="C116" s="70">
        <f t="shared" si="17"/>
        <v>0.2741999114434419</v>
      </c>
      <c r="D116" s="71">
        <f t="shared" si="18"/>
        <v>0.4376069983966357</v>
      </c>
      <c r="E116" s="71">
        <f t="shared" si="19"/>
        <v>23.562393001603365</v>
      </c>
      <c r="F116" s="72">
        <f t="shared" si="14"/>
        <v>-0.998000693484471</v>
      </c>
      <c r="G116" s="73">
        <f t="shared" si="20"/>
        <v>0.38384642057095036</v>
      </c>
      <c r="H116" s="74">
        <f t="shared" si="15"/>
        <v>-0.5603936950878357</v>
      </c>
      <c r="I116" s="73">
        <f t="shared" si="21"/>
        <v>0.2155360365722445</v>
      </c>
    </row>
    <row r="117" spans="1:9" ht="13.5">
      <c r="A117" s="28">
        <v>132.5</v>
      </c>
      <c r="B117" s="29">
        <f t="shared" si="16"/>
        <v>24.74476131803043</v>
      </c>
      <c r="C117" s="70">
        <f t="shared" si="17"/>
        <v>0.2765372730274346</v>
      </c>
      <c r="D117" s="71">
        <f t="shared" si="18"/>
        <v>0.44068606132796057</v>
      </c>
      <c r="E117" s="71">
        <f t="shared" si="19"/>
        <v>23.55931393867204</v>
      </c>
      <c r="F117" s="72">
        <f t="shared" si="14"/>
        <v>-1.18544737935839</v>
      </c>
      <c r="G117" s="73">
        <f t="shared" si="20"/>
        <v>0.44733863372014715</v>
      </c>
      <c r="H117" s="74">
        <f t="shared" si="15"/>
        <v>-0.7447613180304309</v>
      </c>
      <c r="I117" s="73">
        <f t="shared" si="21"/>
        <v>0.2810420068039362</v>
      </c>
    </row>
    <row r="118" spans="1:9" ht="13.5">
      <c r="A118" s="28">
        <v>135</v>
      </c>
      <c r="B118" s="29">
        <f t="shared" si="16"/>
        <v>24.935277161274357</v>
      </c>
      <c r="C118" s="70">
        <f t="shared" si="17"/>
        <v>0.2789598754548286</v>
      </c>
      <c r="D118" s="71">
        <f t="shared" si="18"/>
        <v>0.44386301071700524</v>
      </c>
      <c r="E118" s="71">
        <f t="shared" si="19"/>
        <v>23.556136989282994</v>
      </c>
      <c r="F118" s="72">
        <f t="shared" si="14"/>
        <v>-1.379140171991363</v>
      </c>
      <c r="G118" s="73">
        <f t="shared" si="20"/>
        <v>0.5107926562930974</v>
      </c>
      <c r="H118" s="74">
        <f t="shared" si="15"/>
        <v>-0.9352771612743567</v>
      </c>
      <c r="I118" s="73">
        <f t="shared" si="21"/>
        <v>0.3463989486201321</v>
      </c>
    </row>
    <row r="119" spans="1:9" ht="13.5">
      <c r="A119" s="28">
        <v>137.5</v>
      </c>
      <c r="B119" s="29">
        <f t="shared" si="16"/>
        <v>25.131650855639453</v>
      </c>
      <c r="C119" s="70">
        <f t="shared" si="17"/>
        <v>0.2814648190419311</v>
      </c>
      <c r="D119" s="71">
        <f t="shared" si="18"/>
        <v>0.4471325075049284</v>
      </c>
      <c r="E119" s="71">
        <f t="shared" si="19"/>
        <v>23.55286749249507</v>
      </c>
      <c r="F119" s="72">
        <f t="shared" si="14"/>
        <v>-1.5787833631443817</v>
      </c>
      <c r="G119" s="73">
        <f t="shared" si="20"/>
        <v>0.5741030411434115</v>
      </c>
      <c r="H119" s="74">
        <f t="shared" si="15"/>
        <v>-1.1316508556394531</v>
      </c>
      <c r="I119" s="73">
        <f t="shared" si="21"/>
        <v>0.41150940205071024</v>
      </c>
    </row>
    <row r="120" spans="1:9" ht="13.5">
      <c r="A120" s="28">
        <v>140</v>
      </c>
      <c r="B120" s="29">
        <f t="shared" si="16"/>
        <v>25.33361440188117</v>
      </c>
      <c r="C120" s="70">
        <f t="shared" si="17"/>
        <v>0.28404948345350844</v>
      </c>
      <c r="D120" s="71">
        <f t="shared" si="18"/>
        <v>0.4504895940000102</v>
      </c>
      <c r="E120" s="71">
        <f t="shared" si="19"/>
        <v>23.54951040599999</v>
      </c>
      <c r="F120" s="72">
        <f t="shared" si="14"/>
        <v>-1.784103995881182</v>
      </c>
      <c r="G120" s="73">
        <f t="shared" si="20"/>
        <v>0.6371799985289935</v>
      </c>
      <c r="H120" s="74">
        <f t="shared" si="15"/>
        <v>-1.3336144018811709</v>
      </c>
      <c r="I120" s="73">
        <f t="shared" si="21"/>
        <v>0.47629085781470387</v>
      </c>
    </row>
    <row r="121" spans="1:9" ht="13.5">
      <c r="A121" s="28">
        <v>142.5</v>
      </c>
      <c r="B121" s="29">
        <f t="shared" si="16"/>
        <v>25.540920203863834</v>
      </c>
      <c r="C121" s="70">
        <f t="shared" si="17"/>
        <v>0.2867115039992512</v>
      </c>
      <c r="D121" s="71">
        <f t="shared" si="18"/>
        <v>0.4539296604242228</v>
      </c>
      <c r="E121" s="71">
        <f t="shared" si="19"/>
        <v>23.546070339575778</v>
      </c>
      <c r="F121" s="72">
        <f t="shared" si="14"/>
        <v>-1.9948498642880566</v>
      </c>
      <c r="G121" s="73">
        <f t="shared" si="20"/>
        <v>0.6999473208028268</v>
      </c>
      <c r="H121" s="74">
        <f t="shared" si="15"/>
        <v>-1.540920203863834</v>
      </c>
      <c r="I121" s="73">
        <f t="shared" si="21"/>
        <v>0.5406737557416962</v>
      </c>
    </row>
    <row r="122" spans="1:9" ht="13.5">
      <c r="A122" s="28">
        <v>145</v>
      </c>
      <c r="B122" s="29">
        <f t="shared" si="16"/>
        <v>25.753339310275877</v>
      </c>
      <c r="C122" s="70">
        <f t="shared" si="17"/>
        <v>0.2894487506145336</v>
      </c>
      <c r="D122" s="71">
        <f t="shared" si="18"/>
        <v>0.45744841492051996</v>
      </c>
      <c r="E122" s="71">
        <f t="shared" si="19"/>
        <v>23.54255158507948</v>
      </c>
      <c r="F122" s="72">
        <f t="shared" si="14"/>
        <v>-2.210787725196397</v>
      </c>
      <c r="G122" s="73">
        <f t="shared" si="20"/>
        <v>0.7623405948953093</v>
      </c>
      <c r="H122" s="74">
        <f t="shared" si="15"/>
        <v>-1.7533393102758765</v>
      </c>
      <c r="I122" s="73">
        <f t="shared" si="21"/>
        <v>0.6045997621640954</v>
      </c>
    </row>
    <row r="123" spans="1:9" ht="13.5">
      <c r="A123" s="28">
        <v>147.5</v>
      </c>
      <c r="B123" s="29">
        <f t="shared" si="16"/>
        <v>25.97065983965671</v>
      </c>
      <c r="C123" s="70">
        <f t="shared" si="17"/>
        <v>0.2922593091924647</v>
      </c>
      <c r="D123" s="71">
        <f t="shared" si="18"/>
        <v>0.46104185661025</v>
      </c>
      <c r="E123" s="71">
        <f t="shared" si="19"/>
        <v>23.53895814338975</v>
      </c>
      <c r="F123" s="75">
        <f t="shared" si="14"/>
        <v>-2.4317016962669626</v>
      </c>
      <c r="G123" s="76">
        <f t="shared" si="20"/>
        <v>0.8243056597515127</v>
      </c>
      <c r="H123" s="77">
        <f t="shared" si="15"/>
        <v>-1.9706598396567117</v>
      </c>
      <c r="I123" s="76">
        <f t="shared" si="21"/>
        <v>0.6680202846293938</v>
      </c>
    </row>
    <row r="147" ht="13.5">
      <c r="A147" s="78" t="s">
        <v>154</v>
      </c>
    </row>
    <row r="148" ht="13.5">
      <c r="B148" s="79" t="s">
        <v>155</v>
      </c>
    </row>
    <row r="149" ht="13.5">
      <c r="B149" s="79" t="s">
        <v>156</v>
      </c>
    </row>
    <row r="150" ht="13.5">
      <c r="B150" s="79" t="s">
        <v>157</v>
      </c>
    </row>
    <row r="151" ht="13.5">
      <c r="B151" s="79" t="s">
        <v>158</v>
      </c>
    </row>
    <row r="152" ht="13.5">
      <c r="B152" s="79" t="s">
        <v>159</v>
      </c>
    </row>
    <row r="153" ht="13.5">
      <c r="A153" s="1" t="s">
        <v>160</v>
      </c>
    </row>
    <row r="154" ht="13.5">
      <c r="B154" s="1" t="s">
        <v>161</v>
      </c>
    </row>
    <row r="155" ht="13.5">
      <c r="B155" s="79" t="s">
        <v>162</v>
      </c>
    </row>
    <row r="156" ht="13.5">
      <c r="B156" s="79" t="s">
        <v>163</v>
      </c>
    </row>
    <row r="157" ht="13.5">
      <c r="B157" s="79" t="s">
        <v>164</v>
      </c>
    </row>
  </sheetData>
  <sheetProtection/>
  <printOptions/>
  <pageMargins left="0.75" right="0.75" top="1" bottom="1" header="0.512" footer="0.512"/>
  <pageSetup horizontalDpi="180" verticalDpi="180" orientation="portrait" paperSize="9"/>
  <drawing r:id="rId3"/>
  <legacyDrawing r:id="rId2"/>
  <oleObjects>
    <oleObject progId="Paint.Picture" shapeId="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dc:creator>
  <cp:keywords/>
  <dc:description/>
  <cp:lastModifiedBy>Yosh</cp:lastModifiedBy>
  <dcterms:created xsi:type="dcterms:W3CDTF">2005-06-27T04:11:24Z</dcterms:created>
  <dcterms:modified xsi:type="dcterms:W3CDTF">2024-02-13T00:19:50Z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1041-11.8.2.10334</vt:lpwstr>
  </property>
</Properties>
</file>