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1291" activeTab="3"/>
  </bookViews>
  <sheets>
    <sheet name="Overhang on shell" sheetId="1" r:id="rId1"/>
    <sheet name="Graph" sheetId="2" r:id="rId2"/>
    <sheet name="Designs" sheetId="3" r:id="rId3"/>
    <sheet name="Data" sheetId="4" r:id="rId4"/>
  </sheets>
  <definedNames/>
  <calcPr fullCalcOnLoad="1"/>
</workbook>
</file>

<file path=xl/sharedStrings.xml><?xml version="1.0" encoding="utf-8"?>
<sst xmlns="http://schemas.openxmlformats.org/spreadsheetml/2006/main" count="1303" uniqueCount="929">
  <si>
    <t>CALCULATION OF OVERHANG ALLOWANCE</t>
  </si>
  <si>
    <t>How to use: put parameters in yellow cells, then null points &amp; peak distortion under specific velocity are shown.</t>
  </si>
  <si>
    <t>assuming that tonearm complete with standard shell and cartridge is adjusted as designed (cell C8,C9,C10),</t>
  </si>
  <si>
    <t>and next if we shift the cartridge position on the slotted shell back and forth(cell I8) without skewing the cartridge on shell.</t>
  </si>
  <si>
    <t>Normal/standard setting</t>
  </si>
  <si>
    <t>Adjustment of stylus position on shell</t>
  </si>
  <si>
    <t>Arm Distance =</t>
  </si>
  <si>
    <t>mm from spindle centre to arm pivot</t>
  </si>
  <si>
    <t>Arm distance &amp; linear offset remain unchanged.</t>
  </si>
  <si>
    <t>Linear Offset =</t>
  </si>
  <si>
    <t>mm</t>
  </si>
  <si>
    <t>Real Overhang</t>
  </si>
  <si>
    <t>Overhang</t>
  </si>
  <si>
    <t>D</t>
  </si>
  <si>
    <t>Shift on shell</t>
  </si>
  <si>
    <t>Effective Length</t>
  </si>
  <si>
    <t>L</t>
  </si>
  <si>
    <t>Offset Angle</t>
  </si>
  <si>
    <t>Φ</t>
  </si>
  <si>
    <t>degree</t>
  </si>
  <si>
    <t>Null Points</t>
  </si>
  <si>
    <t>Deviation of angle</t>
  </si>
  <si>
    <t>Peak Distortion</t>
  </si>
  <si>
    <t>(MAX)</t>
  </si>
  <si>
    <t>Position of stylus</t>
  </si>
  <si>
    <t>Signal velocity at</t>
  </si>
  <si>
    <t>cm/sec</t>
  </si>
  <si>
    <t>When shift overhang on shell</t>
  </si>
  <si>
    <t>from the centre of record</t>
  </si>
  <si>
    <t>Φ’-Φ</t>
  </si>
  <si>
    <t>Distortion for LP: 100/3 RPM</t>
  </si>
  <si>
    <r>
      <t>ｒ</t>
    </r>
    <r>
      <rPr>
        <sz val="10"/>
        <rFont val="Times New Roman"/>
        <family val="1"/>
      </rPr>
      <t xml:space="preserve"> (mm)</t>
    </r>
  </si>
  <si>
    <t>tracking angle Φ’</t>
  </si>
  <si>
    <t>deviation</t>
  </si>
  <si>
    <t>DECIMAL PROBLEM IN COMPUTER</t>
  </si>
  <si>
    <t>I can assure the valid decimal upto 1st decimal.</t>
  </si>
  <si>
    <t>Note that common XLS file handles 15-digit numbers in one cell. Hence repeated calculations and</t>
  </si>
  <si>
    <t>functions [SIN, COS, TAN etc are calculated in Taylor series in computer with limited numbers of f(n)]</t>
  </si>
  <si>
    <t>as well as equations (dividing or multiply) may cause the culminated errors.</t>
  </si>
  <si>
    <t>We should be careful about the maximum tolerable error in any analysis carried out by computer.</t>
  </si>
  <si>
    <t>COMPARISON OF DESIGNS &amp; GRAPH</t>
  </si>
  <si>
    <t>Remarks:</t>
  </si>
  <si>
    <r>
      <t xml:space="preserve">Put figures in </t>
    </r>
    <r>
      <rPr>
        <b/>
        <sz val="10"/>
        <rFont val="Times New Roman"/>
        <family val="1"/>
      </rPr>
      <t>yellow cells</t>
    </r>
    <r>
      <rPr>
        <sz val="10"/>
        <rFont val="Times New Roman"/>
        <family val="1"/>
      </rPr>
      <t>, then conversion to other designs &amp; data is done automatically.</t>
    </r>
  </si>
  <si>
    <t>Linear Offset 93.445mm for so-called Baerwald/Loefgren Types is based on inner groove radius 60.325 and outer groove radius 146.05 (inadequate data from IEC98-1958 which was not defining inner groove radius for commercial records).</t>
  </si>
  <si>
    <t>Generally speaking, linear offset shall be determined in accordance with the width of music bands to be played back (see columns of Design Philosophy).</t>
  </si>
  <si>
    <t>In case of PSA (pure straight arm w/o offset), underhang=minus value of overhang should be input in Overhang column.</t>
  </si>
  <si>
    <t>Arm Length</t>
  </si>
  <si>
    <t>Linear Offset</t>
  </si>
  <si>
    <t>Arm Distance</t>
  </si>
  <si>
    <t>Null point</t>
  </si>
  <si>
    <t xml:space="preserve">Design Philosophy of geometry </t>
  </si>
  <si>
    <t>Manufacturer's Data</t>
  </si>
  <si>
    <t>Stevenson's Type</t>
  </si>
  <si>
    <t>IEC?</t>
  </si>
  <si>
    <t>Lower Distortion toward inmost groove</t>
  </si>
  <si>
    <t>Baerwald's Type</t>
  </si>
  <si>
    <t>Moderate Distortion on the peaks</t>
  </si>
  <si>
    <t>Loefgren's Type</t>
  </si>
  <si>
    <t>Lowest Distortion on the mean</t>
  </si>
  <si>
    <t>Velocity of signal:</t>
  </si>
  <si>
    <t>cm/sec peak</t>
  </si>
  <si>
    <t>↓</t>
  </si>
  <si>
    <t>This chart covers extreme groove radius (DIN inner/JIS outer).</t>
  </si>
  <si>
    <t>IEC Inner Groove Radius</t>
  </si>
  <si>
    <t xml:space="preserve">The groove radii of IEC in the left column are old and disputable (inmost groove radius was applicable on transcription disk only). </t>
  </si>
  <si>
    <t>Following peak distortion rate(%)  is applicable to LP: 100/3 RPM only</t>
  </si>
  <si>
    <t>IEC Outer Groove Radius</t>
  </si>
  <si>
    <t>Current IEC98(1987):Outmost groove radius 146.3mm. Inmost groove radius can be interpreted in various ways: no definitive number.</t>
  </si>
  <si>
    <t>Manufacturer specs</t>
  </si>
  <si>
    <t>Baerwald's Design</t>
  </si>
  <si>
    <t>Loefgren's Design</t>
  </si>
  <si>
    <t>DIN Inner Groove Radius</t>
  </si>
  <si>
    <t>As per DIN 45547-June 1981(Now abolished and replaced by DIN/IEC98)</t>
  </si>
  <si>
    <t>Groove</t>
  </si>
  <si>
    <t>Tracking</t>
  </si>
  <si>
    <t>% Tracking</t>
  </si>
  <si>
    <t>DIN Outer Groove Radius</t>
  </si>
  <si>
    <t>Radius</t>
  </si>
  <si>
    <r>
      <t>Error</t>
    </r>
    <r>
      <rPr>
        <u val="single"/>
        <sz val="10"/>
        <rFont val="ＭＳ Ｐゴシック"/>
        <family val="3"/>
      </rPr>
      <t>　</t>
    </r>
    <r>
      <rPr>
        <u val="single"/>
        <sz val="10"/>
        <rFont val="Times New Roman"/>
        <family val="1"/>
      </rPr>
      <t>°</t>
    </r>
  </si>
  <si>
    <t>Distortion</t>
  </si>
  <si>
    <t>JIS Inner Groove Radius</t>
  </si>
  <si>
    <t>As per JIS S8502-1973 &amp; JIS S8601-1981 (abolished by 1994)</t>
  </si>
  <si>
    <t>(mm)</t>
  </si>
  <si>
    <t>manufacturer</t>
  </si>
  <si>
    <t>baerwald</t>
  </si>
  <si>
    <t>loefgren</t>
  </si>
  <si>
    <t>JIS Outer Groove Radius</t>
  </si>
  <si>
    <t>Lofgren's Design</t>
  </si>
  <si>
    <t>Error</t>
  </si>
  <si>
    <t xml:space="preserve">I can assure the valid decimal upto 1st decimal. </t>
  </si>
  <si>
    <t xml:space="preserve">Note that common XLS file handles 15-digit numbers in one cell. Hence repeated calculations and </t>
  </si>
  <si>
    <t xml:space="preserve">functions as well as equations (dividing or multiply) may cause the culminated errors. </t>
  </si>
  <si>
    <t xml:space="preserve">We should be careful about the maximum tolerable error in any analysis carried out by computer. </t>
  </si>
  <si>
    <r>
      <t xml:space="preserve">As for Excel for internal binary calculation error occurs with </t>
    </r>
    <r>
      <rPr>
        <sz val="14"/>
        <color indexed="10"/>
        <rFont val="Times New Roman"/>
        <family val="1"/>
      </rPr>
      <t>binary decimal conversion</t>
    </r>
    <r>
      <rPr>
        <sz val="14"/>
        <rFont val="Times New Roman"/>
        <family val="1"/>
      </rPr>
      <t>.</t>
    </r>
  </si>
  <si>
    <t>OVERHANG, OFFSET &amp; TRACKING ANGLE</t>
  </si>
  <si>
    <t>Effective Length of Arm</t>
  </si>
  <si>
    <t>r</t>
  </si>
  <si>
    <t>Groove Radius</t>
  </si>
  <si>
    <r>
      <t>Tracking angle (a) =asin(r/2L+D(2L-D)/2Lr)=DEGREES(ASIN(0.5</t>
    </r>
    <r>
      <rPr>
        <b/>
        <sz val="11"/>
        <rFont val="Times New Roman"/>
        <family val="1"/>
      </rPr>
      <t>r/L</t>
    </r>
    <r>
      <rPr>
        <sz val="11"/>
        <rFont val="Times New Roman"/>
        <family val="1"/>
      </rPr>
      <t>+</t>
    </r>
    <r>
      <rPr>
        <b/>
        <sz val="11"/>
        <rFont val="Times New Roman"/>
        <family val="1"/>
      </rPr>
      <t>L/r</t>
    </r>
    <r>
      <rPr>
        <sz val="11"/>
        <rFont val="Times New Roman"/>
        <family val="1"/>
      </rPr>
      <t>*(</t>
    </r>
    <r>
      <rPr>
        <b/>
        <sz val="11"/>
        <rFont val="Times New Roman"/>
        <family val="1"/>
      </rPr>
      <t>D/L</t>
    </r>
    <r>
      <rPr>
        <sz val="11"/>
        <rFont val="Times New Roman"/>
        <family val="1"/>
      </rPr>
      <t>-0.5*(</t>
    </r>
    <r>
      <rPr>
        <b/>
        <sz val="11"/>
        <rFont val="Times New Roman"/>
        <family val="1"/>
      </rPr>
      <t>D/L</t>
    </r>
    <r>
      <rPr>
        <sz val="11"/>
        <rFont val="Times New Roman"/>
        <family val="1"/>
      </rPr>
      <t>)^2)))</t>
    </r>
    <r>
      <rPr>
        <sz val="11"/>
        <rFont val="Times New Roman"/>
        <family val="1"/>
      </rPr>
      <t xml:space="preserve"> </t>
    </r>
  </si>
  <si>
    <t>D/L</t>
  </si>
  <si>
    <t>r/L</t>
  </si>
  <si>
    <t>From above graph the following is obvious:</t>
  </si>
  <si>
    <r>
      <t xml:space="preserve">When r/L as </t>
    </r>
    <r>
      <rPr>
        <b/>
        <sz val="14"/>
        <color indexed="10"/>
        <rFont val="Times New Roman"/>
        <family val="1"/>
      </rPr>
      <t>playing range of groove radii</t>
    </r>
    <r>
      <rPr>
        <sz val="14"/>
        <color indexed="10"/>
        <rFont val="Times New Roman"/>
        <family val="1"/>
      </rPr>
      <t xml:space="preserve"> is selected,</t>
    </r>
  </si>
  <si>
    <t>certain D/L value indicates small inclination of curves (small range of variation of tracking angles).</t>
  </si>
  <si>
    <t>Hence small error angle is obtained by giving suitable offset and overhang on certain length of arm.</t>
  </si>
  <si>
    <t>In older times straight arms without offset/overhang at stylus point were widely used.</t>
  </si>
  <si>
    <t>Such arms had 0 overhang (D/L 0) or underhang (minus value of D/L) short to spindle.</t>
  </si>
  <si>
    <t>Though straight arms without offset/overhang at stylus point.have considerable lateral tracking angle error,</t>
  </si>
  <si>
    <t>such arms have one virtue: tracking angles remain in smaller region in comparison with overhang arms with due offset</t>
  </si>
  <si>
    <t>so that anti-skaing device can be omitted from straight arms without offset/overhang.</t>
  </si>
  <si>
    <t>Esp. underhang alignment of straight arms (if aligned at nullpoint around the middle of groove radius: 9cm) has small tracking angles +/- 10degrees.</t>
  </si>
  <si>
    <t>tracking angles</t>
  </si>
  <si>
    <t>index of skating force as SIN(tracking angle)</t>
  </si>
  <si>
    <t>Samples of arms</t>
  </si>
  <si>
    <t>Offset (approx.)</t>
  </si>
  <si>
    <t>r/L range from to (if set as inner 60, outer 145mm)</t>
  </si>
  <si>
    <r>
      <t>SAEC</t>
    </r>
    <r>
      <rPr>
        <sz val="11"/>
        <rFont val="ＭＳ Ｐ明朝"/>
        <family val="1"/>
      </rPr>
      <t>　</t>
    </r>
    <r>
      <rPr>
        <sz val="11"/>
        <rFont val="Times New Roman"/>
        <family val="1"/>
      </rPr>
      <t>WE-308</t>
    </r>
  </si>
  <si>
    <t>12°</t>
  </si>
  <si>
    <t>240mm</t>
  </si>
  <si>
    <t>5mm</t>
  </si>
  <si>
    <r>
      <t>MICRO</t>
    </r>
    <r>
      <rPr>
        <sz val="11"/>
        <rFont val="ＭＳ Ｐ明朝"/>
        <family val="1"/>
      </rPr>
      <t>　</t>
    </r>
    <r>
      <rPr>
        <sz val="11"/>
        <rFont val="Times New Roman"/>
        <family val="1"/>
      </rPr>
      <t>MA-505</t>
    </r>
  </si>
  <si>
    <t>21.833°</t>
  </si>
  <si>
    <t>237mm</t>
  </si>
  <si>
    <t>15mm</t>
  </si>
  <si>
    <t>SME 3009R</t>
  </si>
  <si>
    <t>23.62°</t>
  </si>
  <si>
    <t>233.2mm</t>
  </si>
  <si>
    <t>17.8mm</t>
  </si>
  <si>
    <t>ORTOFON RMG-212</t>
  </si>
  <si>
    <t>23°</t>
  </si>
  <si>
    <t>228mm</t>
  </si>
  <si>
    <t>16mm</t>
  </si>
  <si>
    <t>ORTOFON RMG-309</t>
  </si>
  <si>
    <t>16°</t>
  </si>
  <si>
    <t>320mm</t>
  </si>
  <si>
    <t>11mm</t>
  </si>
  <si>
    <t>radius(mm)</t>
  </si>
  <si>
    <t>1DIST</t>
  </si>
  <si>
    <t>2DIST</t>
  </si>
  <si>
    <t>3DIST</t>
  </si>
  <si>
    <t>4DIST</t>
  </si>
  <si>
    <t>5DIST</t>
  </si>
  <si>
    <t>The design of SAEC WE-308N with too small overhang and offset is deviating from normal designs.</t>
  </si>
  <si>
    <r>
      <t xml:space="preserve">SME 3009R as </t>
    </r>
    <r>
      <rPr>
        <sz val="11"/>
        <rFont val="Times New Roman"/>
        <family val="1"/>
      </rPr>
      <t xml:space="preserve">so-called </t>
    </r>
    <r>
      <rPr>
        <sz val="11"/>
        <rFont val="Times New Roman"/>
        <family val="1"/>
      </rPr>
      <t xml:space="preserve">Baerwald design has three even peaks of distortions </t>
    </r>
    <r>
      <rPr>
        <b/>
        <sz val="11"/>
        <rFont val="Times New Roman"/>
        <family val="1"/>
      </rPr>
      <t>within 60-145mm (groove radii of LP)</t>
    </r>
    <r>
      <rPr>
        <sz val="11"/>
        <rFont val="Times New Roman"/>
        <family val="1"/>
      </rPr>
      <t xml:space="preserve">: see </t>
    </r>
    <r>
      <rPr>
        <sz val="11"/>
        <rFont val="Times New Roman"/>
        <family val="1"/>
      </rPr>
      <t xml:space="preserve">even </t>
    </r>
    <r>
      <rPr>
        <sz val="11"/>
        <rFont val="Times New Roman"/>
        <family val="1"/>
      </rPr>
      <t>peak around 60/85/145.</t>
    </r>
  </si>
  <si>
    <r>
      <t>while</t>
    </r>
    <r>
      <rPr>
        <sz val="11"/>
        <rFont val="Times New Roman"/>
        <family val="1"/>
      </rPr>
      <t xml:space="preserve"> Ortofon &amp; Micro have rather lower peak distortion at further inner groove suitable for</t>
    </r>
    <r>
      <rPr>
        <b/>
        <sz val="11"/>
        <rFont val="Times New Roman"/>
        <family val="1"/>
      </rPr>
      <t xml:space="preserve"> SP &amp; EP</t>
    </r>
    <r>
      <rPr>
        <sz val="11"/>
        <rFont val="Times New Roman"/>
        <family val="1"/>
      </rPr>
      <t>.</t>
    </r>
  </si>
  <si>
    <t>DATA OF TONE ARMS</t>
  </si>
  <si>
    <r>
      <t xml:space="preserve">Numbers in </t>
    </r>
    <r>
      <rPr>
        <i/>
        <sz val="11"/>
        <rFont val="Times New Roman"/>
        <family val="1"/>
      </rPr>
      <t>italic</t>
    </r>
    <r>
      <rPr>
        <sz val="11"/>
        <rFont val="Times New Roman"/>
        <family val="1"/>
      </rPr>
      <t xml:space="preserve"> are only estimation. Testified Offset &amp; null points stand in</t>
    </r>
    <r>
      <rPr>
        <b/>
        <sz val="11"/>
        <rFont val="Times New Roman"/>
        <family val="1"/>
      </rPr>
      <t xml:space="preserve"> bold.</t>
    </r>
  </si>
  <si>
    <r>
      <t xml:space="preserve">Data is taken from Stereo Guide/Year Book (SS=Stereo Sound in Japan) and Maker's catalogs and Internet. </t>
    </r>
    <r>
      <rPr>
        <b/>
        <sz val="11"/>
        <rFont val="Times New Roman"/>
        <family val="1"/>
      </rPr>
      <t>There are many discrepancies among them.</t>
    </r>
  </si>
  <si>
    <t>In many cases offset angle and null points indicated by manufacturers are not optimum in consideration of distortion between inner/outer grooves.</t>
  </si>
  <si>
    <t>MAKER</t>
  </si>
  <si>
    <r>
      <t>MODEL</t>
    </r>
    <r>
      <rPr>
        <b/>
        <sz val="11"/>
        <rFont val="ＭＳ Ｐゴシック"/>
        <family val="3"/>
      </rPr>
      <t>　</t>
    </r>
    <r>
      <rPr>
        <b/>
        <sz val="11"/>
        <rFont val="Times New Roman"/>
        <family val="1"/>
      </rPr>
      <t>NAME</t>
    </r>
  </si>
  <si>
    <t>Length</t>
  </si>
  <si>
    <t>Distance</t>
  </si>
  <si>
    <t>Offset(degree)</t>
  </si>
  <si>
    <t>Remarks</t>
  </si>
  <si>
    <t>Audio Craft</t>
  </si>
  <si>
    <t>AC-30/300/3000/3300</t>
  </si>
  <si>
    <t>57/120</t>
  </si>
  <si>
    <r>
      <t>Brand name: 'Ultracraft' or 'Osawa' for export. 300C/400C with antiskating device/lateral balancer gauge, 300/400MKII with wand change system, 3000/4000 with exchangeable brass wand+round lock nut/stabilizer, 3300/4400 with double point support centre blo</t>
    </r>
    <r>
      <rPr>
        <sz val="11"/>
        <rFont val="Times New Roman"/>
        <family val="1"/>
      </rPr>
      <t>ck.</t>
    </r>
  </si>
  <si>
    <t>AC-400/4000/4400</t>
  </si>
  <si>
    <t>78/92</t>
  </si>
  <si>
    <t>Audio Note</t>
  </si>
  <si>
    <t>ARM 1 &amp; 2</t>
  </si>
  <si>
    <t>60/115</t>
  </si>
  <si>
    <t>Same as Rega RB-300?</t>
  </si>
  <si>
    <t>Audio-Technica</t>
  </si>
  <si>
    <t>(AT1001&amp;AT1003&amp;AT1005)AT1005II/1007/1009</t>
  </si>
  <si>
    <t>60/116</t>
  </si>
  <si>
    <t>AT-1001 was first model by AT to be coupled with cartridge AT-1/3/5 only. Its total length 33cm?</t>
  </si>
  <si>
    <t>AT1501 &amp; AT1501II</t>
  </si>
  <si>
    <t>56/118</t>
  </si>
  <si>
    <t>Error max 1.5degree (SS)</t>
  </si>
  <si>
    <t>AT1503 &amp; AT1503II</t>
  </si>
  <si>
    <t>61/121</t>
  </si>
  <si>
    <t>Error max 2degree (SS)</t>
  </si>
  <si>
    <t>AT1501III/IV &amp; ATP-16T</t>
  </si>
  <si>
    <t>56/121</t>
  </si>
  <si>
    <t>Error angle±1degree30min. ATP professional arms supplied thru Audio-Technica US, Inc. are similar to AT-1500II series except arm length. AT-1500III series with antiskating etc.</t>
  </si>
  <si>
    <t>AT1503III/IV/IIIa &amp; ATP-12T</t>
  </si>
  <si>
    <t>61/124</t>
  </si>
  <si>
    <t>offset 20.5degrees of MKIII drawing does not match with error angle ±1degree 55min</t>
  </si>
  <si>
    <t>AT1100(=Signet XK50)/1010/1120(=Signet XK35)</t>
  </si>
  <si>
    <t>AT-1120 with SME type slide arm base-small modifications from AT-1100 with interchangeable wand etc, AT-1010 with S-shape wand</t>
  </si>
  <si>
    <t>Azden</t>
  </si>
  <si>
    <t>PU-402</t>
  </si>
  <si>
    <t>62/103</t>
  </si>
  <si>
    <t>same as S-220 (maybe before 1975?) distributed by SYNTEC PTY LIMITED for professional broadcasting use</t>
  </si>
  <si>
    <t>PU-550</t>
  </si>
  <si>
    <t>61/113</t>
  </si>
  <si>
    <t xml:space="preserve">Since 1952 Nihon Atsudenki (Japan Piezoelectric) Company supplied audio parts as OEM worldwide.  </t>
  </si>
  <si>
    <t>PU-549</t>
  </si>
  <si>
    <t>64/111</t>
  </si>
  <si>
    <t>In 1975 they started to distribute IM cartridges/Tonearms/Microphones with their own brand AZDEN and/or Japan Piezoelectric.</t>
  </si>
  <si>
    <t>PU-547</t>
  </si>
  <si>
    <t>In 1993 they changed their company name to AZDEN Corp. 549&amp;547 with dial bias-spring type anti-skating (550 with bias lever-string hanger type?)</t>
  </si>
  <si>
    <t>Denon</t>
  </si>
  <si>
    <t>DA-303/305/307/309/401</t>
  </si>
  <si>
    <t>60/111</t>
  </si>
  <si>
    <t xml:space="preserve">Denon indicated offset 20.5degrees for DA-307 &amp;DA-401and max +2.5degrees while DA-305 and +/-2degrees. Hence offset angle 21 degrees is also plausible. </t>
  </si>
  <si>
    <t>DA-302/304/308/1000</t>
  </si>
  <si>
    <t>61/114</t>
  </si>
  <si>
    <t>angle is estimated from description of error Max +2degrees (SS)</t>
  </si>
  <si>
    <t>Dynavector</t>
  </si>
  <si>
    <t>DV-501/505/507</t>
  </si>
  <si>
    <t>60.1/116.6</t>
  </si>
  <si>
    <t>DV-507II from 2004 (it seems DV-507 lot was consumed upto 2003), DV-501 is static balanced arm</t>
  </si>
  <si>
    <t>Excel</t>
  </si>
  <si>
    <t>ES-801</t>
  </si>
  <si>
    <t xml:space="preserve">Arm with S-shaped wand (year of production around 1975). </t>
  </si>
  <si>
    <t>ES-701</t>
  </si>
  <si>
    <t>61/92</t>
  </si>
  <si>
    <t>ES-1000 &amp; Pro S1TA</t>
  </si>
  <si>
    <t>66/121</t>
  </si>
  <si>
    <r>
      <t xml:space="preserve">Year:1979/81. The design &amp; mechanism resembled </t>
    </r>
    <r>
      <rPr>
        <b/>
        <sz val="11"/>
        <rFont val="Times New Roman"/>
        <family val="1"/>
      </rPr>
      <t>Mayware Formula 4.</t>
    </r>
  </si>
  <si>
    <t>Fidelity Research</t>
  </si>
  <si>
    <t>FR-12</t>
  </si>
  <si>
    <t>60/108</t>
  </si>
  <si>
    <t>Static Balance Arm. Offset angle is estimated from Error angle:+2degrees57minutes-56minutes</t>
  </si>
  <si>
    <t>FR-34 (FR-34S)</t>
  </si>
  <si>
    <t>Static Balance Arm (J-Shape wand) with Sliding Bedplate similar to SME.. FR-34S=standard w/o bedplate?</t>
  </si>
  <si>
    <t>FR-14, FR-24 &amp; FR-54</t>
  </si>
  <si>
    <t>59/120</t>
  </si>
  <si>
    <t>Static Balance Arms. Offset angle is estimated from Error angle:+1degrees50minutes-1degree20minutes</t>
  </si>
  <si>
    <t>FR-64/S/fx</t>
  </si>
  <si>
    <r>
      <t>from error description +2 -1degree21min</t>
    </r>
    <r>
      <rPr>
        <sz val="11"/>
        <rFont val="ＭＳ Ｐ明朝"/>
        <family val="1"/>
      </rPr>
      <t>　（</t>
    </r>
    <r>
      <rPr>
        <sz val="11"/>
        <rFont val="Times New Roman"/>
        <family val="1"/>
      </rPr>
      <t>SS)</t>
    </r>
  </si>
  <si>
    <t>FR-66fx</t>
  </si>
  <si>
    <t>63/115</t>
  </si>
  <si>
    <t>from error description +1degree40min -0.45min (null points 63/115mm)</t>
  </si>
  <si>
    <t>FR-66S</t>
  </si>
  <si>
    <t>65/111</t>
  </si>
  <si>
    <t xml:space="preserve">from error description +1degree50min -0.36min (null points 65/111mm) </t>
  </si>
  <si>
    <t>Grace</t>
  </si>
  <si>
    <t>G-520L</t>
  </si>
  <si>
    <t>61/105</t>
  </si>
  <si>
    <t>The founders of Supex and Grace were brothers (ASAKURA family from Shinagawa, Tokyo). Hence Grace by Shinagawa Musen (Radio in Shinagawa)</t>
  </si>
  <si>
    <t>G-540L</t>
  </si>
  <si>
    <t>67/103</t>
  </si>
  <si>
    <t>G-560L</t>
  </si>
  <si>
    <t>63/132</t>
  </si>
  <si>
    <t>Bewildering variety of arms. Arm lifter and anti-skating device were often available as optional parts. Also colour variation such as black/silver. "F" model=four channel use with low capacitance cord</t>
  </si>
  <si>
    <t>G-840F/FB</t>
  </si>
  <si>
    <t>Σ709F</t>
  </si>
  <si>
    <t xml:space="preserve">Integrated with cartridge model F-8F (line contact stylus for CD4) </t>
  </si>
  <si>
    <r>
      <t>G-545F/640P/704/</t>
    </r>
    <r>
      <rPr>
        <b/>
        <sz val="11"/>
        <rFont val="Times New Roman"/>
        <family val="1"/>
      </rPr>
      <t>707</t>
    </r>
    <r>
      <rPr>
        <sz val="11"/>
        <rFont val="Times New Roman"/>
        <family val="1"/>
      </rPr>
      <t>/714/727/940/945/1040</t>
    </r>
  </si>
  <si>
    <t>Audio Magazine Jan 1980 indicated 24 degree for G-707 II. G-707 tracking graph (inner null point 7cm outer 11cm) is irrevant to arm geometry??? G-945 (with antiskating device) is almost similar to G-940(w/o antiskating device).</t>
  </si>
  <si>
    <t>G-565F/660P/860F/860FB/960</t>
  </si>
  <si>
    <t>Angle 19degree is also possible but higher distortion toward inmost groove</t>
  </si>
  <si>
    <t>Guya</t>
  </si>
  <si>
    <r>
      <t>S</t>
    </r>
    <r>
      <rPr>
        <sz val="11"/>
        <rFont val="Times New Roman"/>
        <family val="1"/>
      </rPr>
      <t>TO-100/</t>
    </r>
    <r>
      <rPr>
        <sz val="11"/>
        <rFont val="Times New Roman"/>
        <family val="1"/>
      </rPr>
      <t>STO-140</t>
    </r>
    <r>
      <rPr>
        <sz val="11"/>
        <rFont val="Times New Roman"/>
        <family val="1"/>
      </rPr>
      <t xml:space="preserve"> in 1970s</t>
    </r>
  </si>
  <si>
    <t>63/109</t>
  </si>
  <si>
    <r>
      <t xml:space="preserve">Guya </t>
    </r>
    <r>
      <rPr>
        <sz val="11"/>
        <rFont val="Times New Roman"/>
        <family val="1"/>
      </rPr>
      <t xml:space="preserve">Co., Ltd. Their products were distributed under </t>
    </r>
    <r>
      <rPr>
        <sz val="11"/>
        <rFont val="Times New Roman"/>
        <family val="1"/>
      </rPr>
      <t xml:space="preserve">Tokyo </t>
    </r>
    <r>
      <rPr>
        <sz val="11"/>
        <rFont val="Times New Roman"/>
        <family val="1"/>
      </rPr>
      <t>"</t>
    </r>
    <r>
      <rPr>
        <sz val="11"/>
        <rFont val="Times New Roman"/>
        <family val="1"/>
      </rPr>
      <t>Sound</t>
    </r>
    <r>
      <rPr>
        <sz val="11"/>
        <rFont val="Times New Roman"/>
        <family val="1"/>
      </rPr>
      <t>". Guyatone etc. STO-140 is related to SOUND ST-14. STO-140 with total length 345mm nearly 14inch is named after 14inch arm.</t>
    </r>
  </si>
  <si>
    <t>Ikeda</t>
  </si>
  <si>
    <t>IT-407 (200 units only)</t>
  </si>
  <si>
    <t>from max error description +2 and -0degree 0.35min</t>
  </si>
  <si>
    <t>IT-345</t>
  </si>
  <si>
    <r>
      <t>from max error description +2 and -1degree 0.21min</t>
    </r>
    <r>
      <rPr>
        <b/>
        <sz val="11"/>
        <rFont val="ＭＳ Ｐ明朝"/>
        <family val="1"/>
      </rPr>
      <t>　</t>
    </r>
  </si>
  <si>
    <t>IT-245 (once produced in early 90s)</t>
  </si>
  <si>
    <t xml:space="preserve">Straight arm with special switch making free from spring tention force at 0 balance adjustment. Trial product only 120units!  </t>
  </si>
  <si>
    <t>Jelco</t>
  </si>
  <si>
    <t>SA-250 &amp; SA-750D</t>
  </si>
  <si>
    <t>59/113</t>
  </si>
  <si>
    <t>Many OEM including some of AudioQuest and recent "Belldream"brand distributed by S.F. Project in Japan</t>
  </si>
  <si>
    <t>SA-250st</t>
  </si>
  <si>
    <t>68/115</t>
  </si>
  <si>
    <r>
      <t>"</t>
    </r>
    <r>
      <rPr>
        <b/>
        <sz val="11"/>
        <rFont val="Times New Roman"/>
        <family val="1"/>
      </rPr>
      <t>One Point Cross Suspention Sytem</t>
    </r>
    <r>
      <rPr>
        <sz val="11"/>
        <rFont val="Times New Roman"/>
        <family val="1"/>
      </rPr>
      <t>" was patented to Jelco: USP 4033591</t>
    </r>
    <r>
      <rPr>
        <sz val="11"/>
        <rFont val="ＭＳ Ｐ明朝"/>
        <family val="1"/>
      </rPr>
      <t>－</t>
    </r>
    <r>
      <rPr>
        <sz val="11"/>
        <rFont val="Times New Roman"/>
        <family val="1"/>
      </rPr>
      <t>1977 which is gimbal constructed from centre of the arm base while usual gimbal is constructed from outside.</t>
    </r>
  </si>
  <si>
    <t>SA-750LB(B=Black version)</t>
  </si>
  <si>
    <t>69/130</t>
  </si>
  <si>
    <r>
      <t>Offset 19degrees &amp; Tracking Error Angle +1.42</t>
    </r>
    <r>
      <rPr>
        <sz val="11"/>
        <rFont val="ＭＳ Ｐ明朝"/>
        <family val="1"/>
      </rPr>
      <t>゜</t>
    </r>
    <r>
      <rPr>
        <sz val="11"/>
        <rFont val="Times New Roman"/>
        <family val="1"/>
      </rPr>
      <t xml:space="preserve"> -0.97</t>
    </r>
    <r>
      <rPr>
        <sz val="11"/>
        <rFont val="ＭＳ Ｐ明朝"/>
        <family val="1"/>
      </rPr>
      <t>゜</t>
    </r>
    <r>
      <rPr>
        <sz val="11"/>
        <rFont val="Times New Roman"/>
        <family val="1"/>
      </rPr>
      <t>? Record radius more than 155mm?</t>
    </r>
  </si>
  <si>
    <t>Koetsu</t>
  </si>
  <si>
    <t>SA-1100</t>
  </si>
  <si>
    <t>56/128</t>
  </si>
  <si>
    <t>Finish Pale Gold or Mat Black. There is shorter type L237or 229? without model name. OEM fromJELCO?</t>
  </si>
  <si>
    <t>Lustre/Koshin</t>
  </si>
  <si>
    <r>
      <t>GST-1 &amp; ST-610 &amp; ST-510</t>
    </r>
    <r>
      <rPr>
        <sz val="11"/>
        <rFont val="Times New Roman"/>
        <family val="1"/>
      </rPr>
      <t xml:space="preserve"> &amp; ST-455</t>
    </r>
  </si>
  <si>
    <t>60/114</t>
  </si>
  <si>
    <t>ACOS is importer's name. ACOS REGA PLANET mounted GST-1 and mentioned offset 21degrees and error angle less than 1.5degree for 10inch record? ACOS was maker/supplier of Microphones and also supplied Rega turntables in UK market.</t>
  </si>
  <si>
    <t>GST-801</t>
  </si>
  <si>
    <t>60/117</t>
  </si>
  <si>
    <r>
      <t xml:space="preserve">Stevenson alignment as per http://www.fl-electronic.de/analog/tonarme. </t>
    </r>
    <r>
      <rPr>
        <b/>
        <sz val="11"/>
        <rFont val="Times New Roman"/>
        <family val="1"/>
      </rPr>
      <t>Drawing shows offset between 21-22degrees</t>
    </r>
  </si>
  <si>
    <t>ST-455L</t>
  </si>
  <si>
    <t>65/112</t>
  </si>
  <si>
    <t>Micro</t>
  </si>
  <si>
    <r>
      <t xml:space="preserve">Professional </t>
    </r>
    <r>
      <rPr>
        <sz val="11"/>
        <rFont val="Times New Roman"/>
        <family val="1"/>
      </rPr>
      <t>MA-77</t>
    </r>
  </si>
  <si>
    <t>59/141</t>
  </si>
  <si>
    <r>
      <t xml:space="preserve">Year 1963: J-shape arm. </t>
    </r>
    <r>
      <rPr>
        <sz val="11"/>
        <rFont val="Times New Roman"/>
        <family val="1"/>
      </rPr>
      <t xml:space="preserve">Later "commercial" models MA-77II etc are shortened to 237mm S-shape without lateral balance </t>
    </r>
  </si>
  <si>
    <r>
      <t>P</t>
    </r>
    <r>
      <rPr>
        <sz val="11"/>
        <rFont val="Times New Roman"/>
        <family val="1"/>
      </rPr>
      <t>rofessional MA-88</t>
    </r>
  </si>
  <si>
    <t>62/147</t>
  </si>
  <si>
    <t>Old fashinate J-shape arm introduced at the same time of MA-77. Length and other specs are only estimation.</t>
  </si>
  <si>
    <t>MA-100</t>
  </si>
  <si>
    <t>Dynamic Balance Arm. Maybe this long arm MA-100 is designed for transcription purpose for large 16inch disks.</t>
  </si>
  <si>
    <t>MA-101 Original</t>
  </si>
  <si>
    <t>Static Balance Arm</t>
  </si>
  <si>
    <t>MA-202</t>
  </si>
  <si>
    <t xml:space="preserve">Static Balance Arm 21degrees as per English manual. But another indicates 21.833                                          </t>
  </si>
  <si>
    <t>MA-202L</t>
  </si>
  <si>
    <t>62/119</t>
  </si>
  <si>
    <t xml:space="preserve">Static Balance Arm mounted on MR-711 (1972-4) though drawing in its English manual is based on the shorter MA-202.                                                  </t>
  </si>
  <si>
    <t>MA-303</t>
  </si>
  <si>
    <t>57/113</t>
  </si>
  <si>
    <t>Static Balance Arm Offset angle is 22.5degree as per German Micro Page. Modified MA-303 (antiskating adjusting knob in the left similar to MA-202) was mounted on Solid-5 indicating offset 23degrees.</t>
  </si>
  <si>
    <t>MA-505, MA-707, MAX-237, CF-1, MA-808X</t>
  </si>
  <si>
    <t>58/118</t>
  </si>
  <si>
    <t>Dynamic Balance Arm (Offset 21degree 50minutes). MA-808X with silicon oil damping.</t>
  </si>
  <si>
    <t>MA-701 &amp; MA-77MKII &amp;CF-2</t>
  </si>
  <si>
    <t xml:space="preserve">Static Balance Arm (Offset 21degree 50minutes=21.833degrees or 21degrees) Model MA-77SR is similar to MA-77MKII without arm lifter. </t>
  </si>
  <si>
    <t>MAX-282 &amp; MA-505L</t>
  </si>
  <si>
    <t>61/109</t>
  </si>
  <si>
    <t>Dynamic Balance Arm Offset angle17.5=17degrees 30minutes</t>
  </si>
  <si>
    <t>Namiki</t>
  </si>
  <si>
    <t>Atlas-222</t>
  </si>
  <si>
    <t>69.5/99.06</t>
  </si>
  <si>
    <t>Pioneer</t>
  </si>
  <si>
    <t>PA-100 (similar to arm for PL-41A etc around 1968-1972)</t>
  </si>
  <si>
    <t>57/117</t>
  </si>
  <si>
    <t xml:space="preserve">with magnetic friction-free antiskating </t>
  </si>
  <si>
    <t>PA-1000 (wand of carbon fibre) around 1975</t>
  </si>
  <si>
    <t xml:space="preserve">Offset 21.683 degrees=21degrees41minutes. </t>
  </si>
  <si>
    <t>PA-5000 (around 1978)</t>
  </si>
  <si>
    <t>58/117</t>
  </si>
  <si>
    <t>Recommended for arm-less system PL-C590(1977-1980):dynamic damping similar to Technics EPA-100</t>
  </si>
  <si>
    <t>EA-10 for Exclusive P10, EA-3 for Exclusive P3</t>
  </si>
  <si>
    <t>59/117</t>
  </si>
  <si>
    <t>Offset is calculated from error angle+1.85-1.1</t>
  </si>
  <si>
    <t>Pole Star</t>
  </si>
  <si>
    <t>PS-UNV1(50 units produced in 2007) for Michell Gyro. PS-UNV2 from Feb. 2009</t>
  </si>
  <si>
    <t>59/119</t>
  </si>
  <si>
    <t>Pole Star is original brand name by Tosy (distributor of Michell/Milty/Goldring etc) in Japan</t>
  </si>
  <si>
    <t>RS-Lab</t>
  </si>
  <si>
    <t>RS-A1</t>
  </si>
  <si>
    <r>
      <t xml:space="preserve">Pure Straight Arm. Underhang setting as per Mr. Brian(Audio Asylum 7 th April 2002) </t>
    </r>
    <r>
      <rPr>
        <b/>
        <sz val="11"/>
        <rFont val="Times New Roman"/>
        <family val="1"/>
      </rPr>
      <t>Original Setting:Overhang 0 due to rotating shell</t>
    </r>
  </si>
  <si>
    <t>Saec</t>
  </si>
  <si>
    <t>WE-308N &amp; WE-308SX</t>
  </si>
  <si>
    <t>39/61</t>
  </si>
  <si>
    <t>11.974 degree in Audio Magazine Jan 1980, N=Newly equipped with ultimate shell (3 points contact beryllium-copper washer), SX with mechanical damping</t>
  </si>
  <si>
    <t>WE-308L</t>
  </si>
  <si>
    <t>44/61</t>
  </si>
  <si>
    <t>WE-407/23 &amp;WE-317S</t>
  </si>
  <si>
    <t>61/89</t>
  </si>
  <si>
    <t>SAEC 407/GT for Yamaha GT-2000 is longer (249+9=258mm) with offset around 16.5degrees. Offset for 407/23 &amp; 317S might be around 19degrees though manuals quoted 18degrees.</t>
  </si>
  <si>
    <t>WE-317</t>
  </si>
  <si>
    <t>61/103</t>
  </si>
  <si>
    <t>WE-506/30</t>
  </si>
  <si>
    <t>61/86</t>
  </si>
  <si>
    <t>WE-8000/ST</t>
  </si>
  <si>
    <t>60.6/128.5</t>
  </si>
  <si>
    <t>10% tapered straight wand plus special ceramic shell with universal (SME/Ortofon) type connector (offset is given at shell).</t>
  </si>
  <si>
    <t>Satin</t>
  </si>
  <si>
    <t>AR-1/1M/1S</t>
  </si>
  <si>
    <t>62/122</t>
  </si>
  <si>
    <t>offset in accordance with Japanese HP: http://www2.masashi.ne.jp/ohta/satin/ar1/ar14.html</t>
  </si>
  <si>
    <t>Sony</t>
  </si>
  <si>
    <t>PUA-237</t>
  </si>
  <si>
    <t>56/124</t>
  </si>
  <si>
    <r>
      <t>Offset 22.13'=22.22</t>
    </r>
    <r>
      <rPr>
        <sz val="11"/>
        <rFont val="Times New Roman"/>
        <family val="1"/>
      </rPr>
      <t xml:space="preserve"> Max error 1.73degree(1degree 44minutes) for PUA-237</t>
    </r>
  </si>
  <si>
    <t>PUA-286</t>
  </si>
  <si>
    <t>58/125</t>
  </si>
  <si>
    <r>
      <t xml:space="preserve">Offset 18.39'=18.65 </t>
    </r>
    <r>
      <rPr>
        <sz val="11"/>
        <rFont val="Times New Roman"/>
        <family val="1"/>
      </rPr>
      <t>Year of production: 1967</t>
    </r>
  </si>
  <si>
    <t>PUA-1500S</t>
  </si>
  <si>
    <t>around 1973 replacing PUA-237. error angle 1.44'=1.73degrees</t>
  </si>
  <si>
    <t>PUA-1500L</t>
  </si>
  <si>
    <t>around 1973 replacing PUA-286 error angle 1.24'=1.4degrees</t>
  </si>
  <si>
    <t>PUA-1600S</t>
  </si>
  <si>
    <t>Max error angle +2-1 for PUA-1600S</t>
  </si>
  <si>
    <t>PUA-1600L</t>
  </si>
  <si>
    <t>----</t>
  </si>
  <si>
    <t xml:space="preserve">Error +/-1degree? And offset 18degrees then there is no null point! Offset 19degrees might be far better being to have null points 64/122mm. Another possibility: overhang 13mm for 18degrees for null  65/112mm. </t>
  </si>
  <si>
    <t>PUA-9</t>
  </si>
  <si>
    <t>59/121</t>
  </si>
  <si>
    <t>mounted on Player System PS-X9(1977-1983) with Head amp+Phono Eq. Magnetic IFC(inside force canceller)</t>
  </si>
  <si>
    <t>PUA-7</t>
  </si>
  <si>
    <t>58/111</t>
  </si>
  <si>
    <t>mounted on Player System PS-X70(1978-1980) etc</t>
  </si>
  <si>
    <t>Sound</t>
  </si>
  <si>
    <r>
      <t>ST-14</t>
    </r>
    <r>
      <rPr>
        <sz val="11"/>
        <rFont val="Times New Roman"/>
        <family val="1"/>
      </rPr>
      <t xml:space="preserve"> &amp; ST-14S around 1970</t>
    </r>
  </si>
  <si>
    <r>
      <t>S</t>
    </r>
    <r>
      <rPr>
        <sz val="11"/>
        <rFont val="Times New Roman"/>
        <family val="1"/>
      </rPr>
      <t xml:space="preserve">ame geometry as GUYA STO-140. Distance 237 was often wrongly quoted as effective length. </t>
    </r>
  </si>
  <si>
    <r>
      <t>ST-900</t>
    </r>
    <r>
      <rPr>
        <sz val="11"/>
        <rFont val="Times New Roman"/>
        <family val="1"/>
      </rPr>
      <t xml:space="preserve"> in the end of 1960s</t>
    </r>
  </si>
  <si>
    <r>
      <t xml:space="preserve">History of TOKYO SOUND: started by Mitsuo MATSUKI </t>
    </r>
    <r>
      <rPr>
        <sz val="11"/>
        <rFont val="Times New Roman"/>
        <family val="1"/>
      </rPr>
      <t xml:space="preserve">aka Guya </t>
    </r>
    <r>
      <rPr>
        <sz val="11"/>
        <rFont val="Times New Roman"/>
        <family val="1"/>
      </rPr>
      <t>who invented electric guit</t>
    </r>
    <r>
      <rPr>
        <sz val="11"/>
        <rFont val="Times New Roman"/>
        <family val="1"/>
      </rPr>
      <t>a</t>
    </r>
    <r>
      <rPr>
        <sz val="11"/>
        <rFont val="Times New Roman"/>
        <family val="1"/>
      </rPr>
      <t>r in 1934. Guya Electric Instrument&gt;Guya Co., Ltd</t>
    </r>
    <r>
      <rPr>
        <sz val="11"/>
        <rFont val="Times New Roman"/>
        <family val="1"/>
      </rPr>
      <t xml:space="preserve"> </t>
    </r>
    <r>
      <rPr>
        <sz val="11"/>
        <rFont val="Times New Roman"/>
        <family val="1"/>
      </rPr>
      <t>&gt;Tokyo Sound</t>
    </r>
    <r>
      <rPr>
        <sz val="11"/>
        <rFont val="Times New Roman"/>
        <family val="1"/>
      </rPr>
      <t>. Tokyo Sound &amp; Guya coexisted around 1975.</t>
    </r>
  </si>
  <si>
    <r>
      <t>ST-940</t>
    </r>
    <r>
      <rPr>
        <sz val="11"/>
        <rFont val="Times New Roman"/>
        <family val="1"/>
      </rPr>
      <t xml:space="preserve"> in the end of 1960s &amp;ST-1200</t>
    </r>
  </si>
  <si>
    <r>
      <t>S</t>
    </r>
    <r>
      <rPr>
        <sz val="11"/>
        <rFont val="Times New Roman"/>
        <family val="1"/>
      </rPr>
      <t>T-1200/1400 with inside force canceller mechanism were produced around 1967 ST-1400: effective length262mm overhang10mm?</t>
    </r>
  </si>
  <si>
    <t>Supex</t>
  </si>
  <si>
    <t>The founders of Supex and Grace were brothers (ASAKURA family). 6120 is shorter arm while the length of SP-700A is similar to 6140</t>
  </si>
  <si>
    <t>Stax</t>
  </si>
  <si>
    <t>SA-227 &amp; UA-3N/7/7N/7cfN/9N</t>
  </si>
  <si>
    <t>56/108</t>
  </si>
  <si>
    <t xml:space="preserve">Offset angle from drawing of SA-227 (preceeding model in early '60s), </t>
  </si>
  <si>
    <t>UA-3NL/70/70N/90N</t>
  </si>
  <si>
    <t>60/122</t>
  </si>
  <si>
    <t>since 7/70 with antiskating device, N with armrest on arm base side, 70/90 longer arms, 9/90 are integral arm with fixed headshell</t>
  </si>
  <si>
    <t>Technics</t>
  </si>
  <si>
    <t>EPA-100/250/500</t>
  </si>
  <si>
    <t>62/117</t>
  </si>
  <si>
    <r>
      <t xml:space="preserve">Stylus position on shell (from connector flange to stylus) is </t>
    </r>
    <r>
      <rPr>
        <b/>
        <sz val="11"/>
        <rFont val="Times New Roman"/>
        <family val="1"/>
      </rPr>
      <t xml:space="preserve">52mm </t>
    </r>
    <r>
      <rPr>
        <sz val="11"/>
        <rFont val="Times New Roman"/>
        <family val="1"/>
      </rPr>
      <t xml:space="preserve">and this 52mm is said to be common for most of Technics arms. </t>
    </r>
  </si>
  <si>
    <t>EPA-101S &amp; EPA-121S</t>
  </si>
  <si>
    <t>54/111</t>
  </si>
  <si>
    <t>angle is estimated from description of error +3,-1.4degree(SS)</t>
  </si>
  <si>
    <t>EPA-101L/101T/102L/102T/121L/121T</t>
  </si>
  <si>
    <t>60/118</t>
  </si>
  <si>
    <t>Suffix T means "plus arm" type with clamps while "L" with normal arm base. Error Max +3, -1.4degrees hence offset between 21-21.6degrees</t>
  </si>
  <si>
    <t>EPA-99(for SP-10) &amp; EPA-110(for SL-1100)</t>
  </si>
  <si>
    <t>Offset 21degrees was indicated. But error angle +/-1.75degrees?</t>
  </si>
  <si>
    <t>Toho</t>
  </si>
  <si>
    <t>T-2401 Tonearm Kit</t>
  </si>
  <si>
    <t>58/113</t>
  </si>
  <si>
    <t>Offset 20degree53minutes</t>
  </si>
  <si>
    <t>Victor (JVC)</t>
  </si>
  <si>
    <t>ARM-1000</t>
  </si>
  <si>
    <t>Dynamic Balance Arm also mounted on SRP-469 (1967). Overhang is mentioned as 5mm and max tracking error +/-1degree35minutes???</t>
  </si>
  <si>
    <t>UA-5045/UA-7045</t>
  </si>
  <si>
    <t>58/123</t>
  </si>
  <si>
    <t>Offset 21degrees 40minutes=21.667: error description +1degree48min -1degree31min</t>
  </si>
  <si>
    <t>UA-7082</t>
  </si>
  <si>
    <r>
      <t>from error description +2degree23min -43min</t>
    </r>
    <r>
      <rPr>
        <b/>
        <sz val="11"/>
        <rFont val="ＭＳ Ｐ明朝"/>
        <family val="1"/>
      </rPr>
      <t>　（</t>
    </r>
    <r>
      <rPr>
        <b/>
        <sz val="11"/>
        <rFont val="Times New Roman"/>
        <family val="1"/>
      </rPr>
      <t>SS)</t>
    </r>
  </si>
  <si>
    <t>Yamaha</t>
  </si>
  <si>
    <t>YSA-1 Straight shape arm (1983)</t>
  </si>
  <si>
    <t>60/119</t>
  </si>
  <si>
    <t>Optional arm for GT-2000. GT-1000/2000 system players had same geometry of arm. Model YA-39 arm (S shape) with auto-lift YAL-1 is for GT-2000L</t>
  </si>
  <si>
    <t>YSA-2 Straight &amp; no-offset arm (1985)</t>
  </si>
  <si>
    <t>Pure Straight Arm without any offset angle (limited production 1500units?) designed to be installed instead of YA-39 or YSA-1 on GT-2000</t>
  </si>
  <si>
    <t>ADC</t>
  </si>
  <si>
    <t>LMF-1 &amp; LMF-2</t>
  </si>
  <si>
    <t>LMF-1 is integrated. LMF-2 has detachable shell. These arms around 1980 were made in Japan (through BSR Japan since ADC merged into BSR group).</t>
  </si>
  <si>
    <t>Pritchard Arm ADC-40 for cartridge ADC-1</t>
  </si>
  <si>
    <t>64/122</t>
  </si>
  <si>
    <t>Overhang 0.7inch=17.78mm was recommended in the manual for optimum alignment. Wand is made of walnut wood.</t>
  </si>
  <si>
    <t>ALT-1</t>
  </si>
  <si>
    <t>69/129</t>
  </si>
  <si>
    <t>Alphason</t>
  </si>
  <si>
    <t>Opal/Delta/Xenon/HR-100S</t>
  </si>
  <si>
    <t>planned as replacement for LINN arms on LP12</t>
  </si>
  <si>
    <t>Artisan Audio</t>
  </si>
  <si>
    <t>Morsiani CM-1 Uni-pivot arm (9 and 12 inches)</t>
  </si>
  <si>
    <t xml:space="preserve">a harmonic steel 78 rpm needle as the pivot bearing, a graphite headshell and carbon fibre arm tube, two pairs of (red) alnico magnets to provide the variable anti-skate force </t>
  </si>
  <si>
    <t>AudioQuest</t>
  </si>
  <si>
    <t>PT-6/7/8/9</t>
  </si>
  <si>
    <t>Though length 228mm was indicated in template, the effective length should be 229mm. The distance indicated in manual for PT-9 is 211mm (8.3inch=210.82mm which is rounded down to 210 in template)</t>
  </si>
  <si>
    <t>Basis Audio</t>
  </si>
  <si>
    <t>Vector</t>
  </si>
  <si>
    <t>No reliable data is available for the moment, but I assume its geometry is similar to SME 3010R</t>
  </si>
  <si>
    <t>BBC</t>
  </si>
  <si>
    <t>Pickup Arm MP1/18</t>
  </si>
  <si>
    <t>63/117</t>
  </si>
  <si>
    <t>to be coupled with Technics turntable SP10MKII(1976) for playback of SP/EP/LP</t>
  </si>
  <si>
    <t>Belcanto</t>
  </si>
  <si>
    <t>Unipivot 10"</t>
  </si>
  <si>
    <t>66/114</t>
  </si>
  <si>
    <t>Unipivot 12"</t>
  </si>
  <si>
    <t>66/127</t>
  </si>
  <si>
    <t>Bluenote</t>
  </si>
  <si>
    <t>Borghese/Bellaria/Borromeo/U-3</t>
  </si>
  <si>
    <t>233 (238?)</t>
  </si>
  <si>
    <t>around 20???</t>
  </si>
  <si>
    <t>UNI-PIVOT ARMS compliant with Rega cutout for arm</t>
  </si>
  <si>
    <t>B-5 &amp; B-7</t>
  </si>
  <si>
    <t>NORMAL BEARINGS ARMS compliant with Rega cutout for arm</t>
  </si>
  <si>
    <t>B&amp;O</t>
  </si>
  <si>
    <t>ST/A</t>
  </si>
  <si>
    <t>Dynamic balance arm (Static Balanced &amp; VTF added by spring) around 1960-1968</t>
  </si>
  <si>
    <t>Breuer</t>
  </si>
  <si>
    <t>Type 5A</t>
  </si>
  <si>
    <t>68/128</t>
  </si>
  <si>
    <t>As per Audio Magazine Jan 1980</t>
  </si>
  <si>
    <t>Type 6A</t>
  </si>
  <si>
    <t>Long linear offset design is consistent among his models?</t>
  </si>
  <si>
    <t>Type 7 &amp; 8</t>
  </si>
  <si>
    <t xml:space="preserve">Often quoted 10.5inch might be overall length. </t>
  </si>
  <si>
    <t>Brinkmann</t>
  </si>
  <si>
    <t>10.5 (before 2008?)</t>
  </si>
  <si>
    <t>Typical Baerwald alighnment for LP was indicated in old HP.</t>
  </si>
  <si>
    <t>New (description revised Dec 2008) 10.5</t>
  </si>
  <si>
    <t>Headshell Offset 23.7degrees is indicated with Baerwald alignment for LP: offset should be around 21.1degrees</t>
  </si>
  <si>
    <t>Headshell Offset 19.67degrees is indicated with Baerwald alignment for LP: true offset should be 17.84degrees</t>
  </si>
  <si>
    <t>Clearaudio</t>
  </si>
  <si>
    <t>Unify 9/Satisfy</t>
  </si>
  <si>
    <t>Old data on null points: 63.6/119.5mm same as SME 300 series</t>
  </si>
  <si>
    <t>Unify 10</t>
  </si>
  <si>
    <t>Typical Baerwald alignemnt as of catalog in 2005</t>
  </si>
  <si>
    <t>Unify 12</t>
  </si>
  <si>
    <t>Unify 14</t>
  </si>
  <si>
    <t>New(2008)? Unify 10</t>
  </si>
  <si>
    <t>New manual arranged in 2008: "unclear" audio descriptions</t>
  </si>
  <si>
    <t>New(2008)? Unify 14</t>
  </si>
  <si>
    <t>70/111</t>
  </si>
  <si>
    <t>As per 2008 manual, but to have null points 66/120.9 if L327:Overhang 12.4, Offset 16.6, Distance 314.6mm</t>
  </si>
  <si>
    <t>Connoisseuer</t>
  </si>
  <si>
    <t>SAU2</t>
  </si>
  <si>
    <t>61/94</t>
  </si>
  <si>
    <t xml:space="preserve">Unique anti-skating bias design with 45degrees inclined pivots on outer gimbal. </t>
  </si>
  <si>
    <t>Continuum</t>
  </si>
  <si>
    <t>Cobra &amp; Copperhead</t>
  </si>
  <si>
    <t>It seems that CONTINUUM has HIGH-END conspiracy with Immedia/Spiral Groove.</t>
  </si>
  <si>
    <t>DaVinci Audio Lab</t>
  </si>
  <si>
    <t>"grandezza" grand reference 9inch</t>
  </si>
  <si>
    <t>Typical Baerwald alignment. Magnetic antiskating?</t>
  </si>
  <si>
    <t>"grandezza" grand reference 10inch</t>
  </si>
  <si>
    <t>"grandezza" grand reference 12inch</t>
  </si>
  <si>
    <t>Decca</t>
  </si>
  <si>
    <t>International Arm</t>
  </si>
  <si>
    <t>45/155</t>
  </si>
  <si>
    <t xml:space="preserve">If this has same geometry as ffss arm: total length 12.5inch L9inch. D8.375inch as per leaflet of ffss arm. French reviewer mentioned L235mm, then Overhang22, D213 and Offset 26degrees for better null points 76/131mm for 12inch LP? </t>
  </si>
  <si>
    <t>Professional Arm</t>
  </si>
  <si>
    <t>Designed for plug-in type cartridge Decca MKI/II/III. Synonym for Mark 1, Mark 1 Super, the FFSS pick-up arm. Magnetic bias adaptor type A compensator is optional part for Mark1 Super etc.</t>
  </si>
  <si>
    <t>Deram</t>
  </si>
  <si>
    <t>8 inch arm for Decca Deram ceramic stereophonic cartridge. Deram Anti-Rumble Integrated Transcription Pickup</t>
  </si>
  <si>
    <t>EMI</t>
  </si>
  <si>
    <t>TYPE  EPU 100</t>
  </si>
  <si>
    <t>59/104</t>
  </si>
  <si>
    <t>Coupled with EMI plug-in cartridge (TYPE EHP). Arm design method:"less distortion towards the centre of records"</t>
  </si>
  <si>
    <t>Empire</t>
  </si>
  <si>
    <t>980 &amp; 990</t>
  </si>
  <si>
    <t>64/121</t>
  </si>
  <si>
    <t>Overhang recommended:5/8inch=15.875mm and error+/-0.65degree? Offset 22.8 is plausible for this overhang. Model 990 with Anti-skating mechanism. Original "98"or 980 arm on original turntable "208" did not have Dyna-lift (US patent 3219351-1965). Later sys</t>
  </si>
  <si>
    <t>EMT</t>
  </si>
  <si>
    <t>Angle 20degree50min=20.833 Length is often mentioned wrongly as 229mm or 230mm (arm distance).</t>
  </si>
  <si>
    <t>Ortofon RF229(Mono)/RMA229 for EMT 930</t>
  </si>
  <si>
    <t>RF J-shape arm with under-slit connector guide was made by Ortofon for Monaural (EMT Cartridges OFS/OFD), S-shape RMA for stereo. It is questionable that geometry of RF/RMA229 was same as that of EMT929.</t>
  </si>
  <si>
    <t>929 "RAI" version</t>
  </si>
  <si>
    <t>57/131</t>
  </si>
  <si>
    <t>929 with EIA/SME connector, effective length with XSD15 might be around 240-244mm, but the offset seems larger than original 929. EMT950 had separate metal board for 929. Then design of board is also differing between standard 929 and RAI version?</t>
  </si>
  <si>
    <t>57/109</t>
  </si>
  <si>
    <t>estimated from null points &amp; error angles indicated by EMT in a site</t>
  </si>
  <si>
    <t>Recent re-issued 997 "Banana" seems to be based on this simulation.</t>
  </si>
  <si>
    <t>Ortofon RF297(Mono)/RMA297 for EMT927 turntable</t>
  </si>
  <si>
    <t>61/120</t>
  </si>
  <si>
    <t xml:space="preserve">RF J-shape arm with under-slit for connector guide pin made by Ortofon is for Monaural (Cartridges OFS/OFD), S-shape RMA for stereo. </t>
  </si>
  <si>
    <t>Epule</t>
  </si>
  <si>
    <t>12inch unipivot arm</t>
  </si>
  <si>
    <t>Distance is quoted as 305mm, but overhang is 13mm, then DISTANCE is 302mm</t>
  </si>
  <si>
    <t>ESL</t>
  </si>
  <si>
    <t>ESL-2000 with original shell &amp; ESL-1000</t>
  </si>
  <si>
    <r>
      <t xml:space="preserve">In Japan also as ESL212. Some SPUs with ESL logo on shell. ESL arms were distributed by ELPA. Overhang was indicated as </t>
    </r>
    <r>
      <rPr>
        <b/>
        <sz val="11"/>
        <rFont val="Times New Roman"/>
        <family val="1"/>
      </rPr>
      <t>19/32=15mm</t>
    </r>
    <r>
      <rPr>
        <sz val="11"/>
        <rFont val="Times New Roman"/>
        <family val="1"/>
      </rPr>
      <t xml:space="preserve"> but geometry might be similar to Ortofon? ESL=Electro-Sonic Laboratories</t>
    </r>
  </si>
  <si>
    <t>GE</t>
  </si>
  <si>
    <t>"BATON" tone arm A1-500 for 12inch records</t>
  </si>
  <si>
    <t>62/94</t>
  </si>
  <si>
    <t>Upto 12inch records. Distance 8.25inch(approx.209.5mm) + Overhang 17/32inch(approx.13.5mm)=Approx. L223mm</t>
  </si>
  <si>
    <t>"BATON" A1-501 for transcription 16inch records</t>
  </si>
  <si>
    <t>76/142</t>
  </si>
  <si>
    <t>For 16inch transcription. Distance 11.25inch(285.75mm) + Overhang 23/32inch(approx.18.25mm)=Approx. L304mm. Note that minimum music radius for 33 1/3rpm coarse groove transcription was 95mm as per IEC98-1958.</t>
  </si>
  <si>
    <t>Grado</t>
  </si>
  <si>
    <t>Laboratory Series (original wooden one)</t>
  </si>
  <si>
    <t>65/127</t>
  </si>
  <si>
    <t>Dynamic balanced arm. Distance 8 3/16inch(207.96mm), Overhang 75/100inch=19.05mm</t>
  </si>
  <si>
    <t xml:space="preserve">Joseph Grado Signature Laboratory Standard </t>
  </si>
  <si>
    <t>S-shape arm. Tracking force is adjusted by a combination of static and dynamic methods. The geometry is unknown: claiming alignment on outer diameter point A only. The antiskating force might be obtained by spring.</t>
  </si>
  <si>
    <t>Grado Micro-Control Tone Arm</t>
  </si>
  <si>
    <r>
      <t xml:space="preserve">Arm Distance 7 7/8in(200mm). Product in 1958 </t>
    </r>
    <r>
      <rPr>
        <b/>
        <sz val="11"/>
        <rFont val="Times New Roman"/>
        <family val="1"/>
      </rPr>
      <t>The indicated geometry has contradictions: 24.5degrees might be head offset and not the true offset.</t>
    </r>
  </si>
  <si>
    <t>Graham</t>
  </si>
  <si>
    <t>Model 1.5t (&amp;2.2/2.1 too?)</t>
  </si>
  <si>
    <t>23.5(23.43)</t>
  </si>
  <si>
    <t>65/122(66/121)</t>
  </si>
  <si>
    <t>geometry as indicated in US patent 4686664. In manual two overhang positions are indicated for Seagrave-Baerwald and Loefgren alignments.</t>
  </si>
  <si>
    <t>Phantom (same as The Phantom Model B-44?)</t>
  </si>
  <si>
    <t>66/120</t>
  </si>
  <si>
    <t xml:space="preserve">What makes difference between Model I &amp; Model II? Model II with improved wand and pivot as per importer (Scantech). </t>
  </si>
  <si>
    <t>Phantom L for SPIRAL GROOVE system SG1/SG2</t>
  </si>
  <si>
    <t>Scantec indicates only total Length320mm Overhang 16.7 while reviewer (Phileweb) indicates total length 320.7 L246.1 D228.6 then Overhang17.5. Another possible simulation L247.1 D230.4 Overhang 16.7 Offset 22.22degrees for standard Baerwald alignment.</t>
  </si>
  <si>
    <t xml:space="preserve">Gray </t>
  </si>
  <si>
    <t>103-5L</t>
  </si>
  <si>
    <t>This unique design resembles to US patent 2060117(1936) by Barton A. Proctor</t>
  </si>
  <si>
    <t>50/104</t>
  </si>
  <si>
    <t>alignment for 12" records</t>
  </si>
  <si>
    <t>Hadcock</t>
  </si>
  <si>
    <t>GH228 &amp; GH Unipoise Super &amp; GH220</t>
  </si>
  <si>
    <t>57/121</t>
  </si>
  <si>
    <t>Cutout template indicated distance 8.5inch(215.9mm) which almost coincide with datat of Super Unilift III quoted in Audio Magazine though Unilift is optional lifter and not the correct name for arm. Template A indicates 8.38" (212.85mm)</t>
  </si>
  <si>
    <t>GH242 Special Edition</t>
  </si>
  <si>
    <t>69/122</t>
  </si>
  <si>
    <t xml:space="preserve">All arms by Hadcock except GH220 are uni-pivotted. </t>
  </si>
  <si>
    <t>Helius</t>
  </si>
  <si>
    <t>Orion</t>
  </si>
  <si>
    <t>65/119</t>
  </si>
  <si>
    <t>Distance 236mm(instead of 234.6mm) is indicated on Template-then length to be 252mm(not 251mm)!</t>
  </si>
  <si>
    <t>Aureus &amp; Scorpio</t>
  </si>
  <si>
    <t>Null points on Aureus protractor seems to indicate 66/119 while Scorpio protractor indicated outer null point only.</t>
  </si>
  <si>
    <t>Holborne</t>
  </si>
  <si>
    <t>10" nominal effective length 238.5mm</t>
  </si>
  <si>
    <t>63/120</t>
  </si>
  <si>
    <t>Dual pivot arm with antiskating mechanism from Swiss : modification of STAX design?</t>
  </si>
  <si>
    <t>Immedia</t>
  </si>
  <si>
    <t>RPM-2</t>
  </si>
  <si>
    <t>65/121</t>
  </si>
  <si>
    <t xml:space="preserve">Arm distance 9.36inch(238mm) when drilling centre hole. But length 10inch(254mm) and distance 9.33inch(237mm) are mentioned as sample of overhang? </t>
  </si>
  <si>
    <t>Infinity</t>
  </si>
  <si>
    <t>Black Widow</t>
  </si>
  <si>
    <t>60/110</t>
  </si>
  <si>
    <t>Angle &amp; Overhang as per Audio Magazine Jan 1980. Offset 21degrees/Overhang 15mm/Distance 222mm might be realistic figures. Then Null points 67/103mm. US Design Patent 251558(1979) designed by Cary Christle and Makoto Ikeda (Japanese different from Isamu I</t>
  </si>
  <si>
    <t>JH Reproducers</t>
  </si>
  <si>
    <t>Formula 4 Laboratory Standard Tone Arm</t>
  </si>
  <si>
    <t>225(224.8)</t>
  </si>
  <si>
    <t>15(15.2)</t>
  </si>
  <si>
    <t>60.325/116.992</t>
  </si>
  <si>
    <t xml:space="preserve">Longer than Mayware Formula 4?! Linear offset 3.49inch(88.646mm) is almost exact value lead out from two null points (2.375inch and 4.606inch). Bias force (10% of VTF) is constant irrespective of groove radius because of hub+string+weight. </t>
  </si>
  <si>
    <t>JML Co.</t>
  </si>
  <si>
    <t>TA-3A</t>
  </si>
  <si>
    <t xml:space="preserve">JMW </t>
  </si>
  <si>
    <t>Momorial 12</t>
  </si>
  <si>
    <t>68/142</t>
  </si>
  <si>
    <t>Mysterious design by Harry Weisfelt: No reliable dimension available with exchangeable wand+wires off from unipivot. Original protractor seems to indicate 68mm as null point.</t>
  </si>
  <si>
    <t>Memorial 10.5i</t>
  </si>
  <si>
    <t>68/119</t>
  </si>
  <si>
    <t>Headshell offset 22degrees is indicated, but it might not be correct offset angle. Model 10.5i is 12mm longer than other JMW 10inch arms.</t>
  </si>
  <si>
    <t>Memorial 10</t>
  </si>
  <si>
    <t>68/113</t>
  </si>
  <si>
    <t xml:space="preserve">10 inch arm was designed with usual linear offset suitable for 12inch records while longer arm had large offset length by using same headshell offset 20degrees maybe intentionally for playing 16inch transcriptions. </t>
  </si>
  <si>
    <t>JMW-9</t>
  </si>
  <si>
    <t>68/103</t>
  </si>
  <si>
    <t>Headshell offset 23.5degrees is indicated, but it might not be correct offset angle.</t>
  </si>
  <si>
    <t>Keith Monks</t>
  </si>
  <si>
    <t>M9BA Original by Audio &amp; Design</t>
  </si>
  <si>
    <t>41/137</t>
  </si>
  <si>
    <t>M12BA Original by Audio &amp; Design</t>
  </si>
  <si>
    <t>38/201</t>
  </si>
  <si>
    <t>M9BA MKIII</t>
  </si>
  <si>
    <t>60/94</t>
  </si>
  <si>
    <r>
      <t xml:space="preserve">Linear Offset measured as </t>
    </r>
    <r>
      <rPr>
        <b/>
        <sz val="11"/>
        <rFont val="Times New Roman"/>
        <family val="1"/>
      </rPr>
      <t>77</t>
    </r>
    <r>
      <rPr>
        <sz val="11"/>
        <rFont val="Times New Roman"/>
        <family val="1"/>
      </rPr>
      <t>mm(=19.7degrees) instead of 89mm=23degrees contradicting to Audio Magazine Jan/1980</t>
    </r>
  </si>
  <si>
    <t>Korvet</t>
  </si>
  <si>
    <t>Arm mounted on turntable KopBem Korvet 003</t>
  </si>
  <si>
    <t>57/99</t>
  </si>
  <si>
    <t>Unique arm from USSR around 1979: Distance 215+/-2mm, Overhang 12.7+/-0.1mm</t>
  </si>
  <si>
    <t>Kuzma</t>
  </si>
  <si>
    <t>Stogi</t>
  </si>
  <si>
    <t>65/122</t>
  </si>
  <si>
    <t>Baerwald type-design</t>
  </si>
  <si>
    <t>4point (virtually eqv. to gimbals?)</t>
  </si>
  <si>
    <t>264 (212)</t>
  </si>
  <si>
    <t>88/99</t>
  </si>
  <si>
    <t>Unique arm with beam for bearing pivots to have mounting distance 212mm while arm-pivot distance from spindle is 264mm</t>
  </si>
  <si>
    <t>Lenko</t>
  </si>
  <si>
    <t>P77</t>
  </si>
  <si>
    <t>66/113</t>
  </si>
  <si>
    <t>Offset 23.2(23degree 12minutes) Overhang 17.1mm instead of 17mm? Error angle +/-0.8degrees is for 10inch records</t>
  </si>
  <si>
    <t>Linn</t>
  </si>
  <si>
    <t>Akito/Basik/Ittok/Ekos/LVX</t>
  </si>
  <si>
    <t>Typical Baerwald-alignment. Template indicates L229mm and Overhang 18mm</t>
  </si>
  <si>
    <t>Logic</t>
  </si>
  <si>
    <t>Datum/Datum II/Datum S</t>
  </si>
  <si>
    <t>65/117</t>
  </si>
  <si>
    <t>Magnepan</t>
  </si>
  <si>
    <t>Unitrac-1</t>
  </si>
  <si>
    <t>Headshell offset 22.8 equal to true offset from stylus-arm pivot in Magnepan shell design.</t>
  </si>
  <si>
    <t>Manticore</t>
  </si>
  <si>
    <t>Musician/Magician</t>
  </si>
  <si>
    <t>23degrees36minitues=23.6degrees</t>
  </si>
  <si>
    <t>Magician 12"</t>
  </si>
  <si>
    <t>79/149</t>
  </si>
  <si>
    <t xml:space="preserve">21degrees58minutes=21.9666666degrees: quite strange geometry </t>
  </si>
  <si>
    <t>Mayware</t>
  </si>
  <si>
    <t>Formula 4 Model PL S4/D</t>
  </si>
  <si>
    <r>
      <t>60.325</t>
    </r>
    <r>
      <rPr>
        <sz val="11"/>
        <rFont val="Times New Roman"/>
        <family val="1"/>
      </rPr>
      <t>/107.7</t>
    </r>
  </si>
  <si>
    <t>Design offset should be 22degrees (Null 60.5/107.3)</t>
  </si>
  <si>
    <t>Formula 4 MK III</t>
  </si>
  <si>
    <t>229+/-3</t>
  </si>
  <si>
    <t>212+/-3</t>
  </si>
  <si>
    <t>around 17</t>
  </si>
  <si>
    <t>around 23.5</t>
  </si>
  <si>
    <t xml:space="preserve">inner null point around 63.5 </t>
  </si>
  <si>
    <t>Arm Distance is selectable between 209 and 215mm as per manual.</t>
  </si>
  <si>
    <t>Mayware (Formula 4) MK IV/V</t>
  </si>
  <si>
    <t>64/119</t>
  </si>
  <si>
    <t>Manual for V indicated offset 23degrees31minutes(23.517), but 23.58degrees is required to get null point 63.5mm</t>
  </si>
  <si>
    <t>Mel Audio</t>
  </si>
  <si>
    <t>Zeroha II</t>
  </si>
  <si>
    <t>Unipivot silicon damped</t>
  </si>
  <si>
    <t>Micro-Trak (Gray)</t>
  </si>
  <si>
    <t>303 Professional Arm</t>
  </si>
  <si>
    <t>70/108</t>
  </si>
  <si>
    <t>Plastic Impregnated Wood Wand, Tracking Error less than 2 degrees(SS)</t>
  </si>
  <si>
    <t>306 Professional Arm</t>
  </si>
  <si>
    <t>63/118</t>
  </si>
  <si>
    <t>Plastic Impregnated Wood Wand, Tracking Error less than 1.5 degrees(SS)</t>
  </si>
  <si>
    <t>206S (same geometry as 303 essentially)</t>
  </si>
  <si>
    <t>One point pivot with oil damp VTF over 3g, Tracking Error less than 2degrees(SS)</t>
  </si>
  <si>
    <t>Mission</t>
  </si>
  <si>
    <t>60/100</t>
  </si>
  <si>
    <t>Alignment Protractor shows one null point around 60mm and overhang 14mm. Geometry of later versions 774 LC/SM is assumed similar to that of Mission Mechanic.</t>
  </si>
  <si>
    <t>Mechanic (and some later versions of 774)</t>
  </si>
  <si>
    <t xml:space="preserve">Manual indicated Length 225mm. Incidentally and meaningfully ZETA in old document indicated L225mm too. </t>
  </si>
  <si>
    <t>Moerch</t>
  </si>
  <si>
    <t>DP-6 &amp; UP-4</t>
  </si>
  <si>
    <t>Typical Baerwald-alignment</t>
  </si>
  <si>
    <t>DP-6 12"&amp; UP-4 12"vesion</t>
  </si>
  <si>
    <t xml:space="preserve">Naim </t>
  </si>
  <si>
    <t>Aro</t>
  </si>
  <si>
    <t>L230 or 230.5mm Overhang18mm Distance 212 or 212.5</t>
  </si>
  <si>
    <t>Odyssey</t>
  </si>
  <si>
    <t>RP1-XG and RP1 Gold</t>
  </si>
  <si>
    <t>63.5/120</t>
  </si>
  <si>
    <t>Opera Audio</t>
  </si>
  <si>
    <t>ST100</t>
  </si>
  <si>
    <t>Tracking error null points show 65/118mm=Linear offset about 91.5, then Overhang must be 17.5mm instead of 16mm</t>
  </si>
  <si>
    <t>ST600 10.5inch</t>
  </si>
  <si>
    <t xml:space="preserve">Null points 67.5/115mm and Overhang 15mm in its "literature" though overhang 16mm is erraneously quoted elsewhere. </t>
  </si>
  <si>
    <t>ST600 12inch</t>
  </si>
  <si>
    <t>68/137</t>
  </si>
  <si>
    <t>Null points 67.5/137.5mm in literature</t>
  </si>
  <si>
    <t>Oracle-SME</t>
  </si>
  <si>
    <r>
      <t>Model 345 (modified from SME309 for DELPHI Mk</t>
    </r>
    <r>
      <rPr>
        <sz val="11"/>
        <rFont val="ＭＳ Ｐ明朝"/>
        <family val="1"/>
      </rPr>
      <t>Ⅴ</t>
    </r>
    <r>
      <rPr>
        <sz val="11"/>
        <rFont val="Times New Roman"/>
        <family val="1"/>
      </rPr>
      <t>)</t>
    </r>
  </si>
  <si>
    <t>18.8? questionable since pivot is not always on bedplate center.</t>
  </si>
  <si>
    <t>Bedplate Center to Turntable Centre is said to be 213.4mm as per importer (YUKIM) in Japan (Maybe typo of 215.4?) distributed since April 2005</t>
  </si>
  <si>
    <t>Origin Live</t>
  </si>
  <si>
    <t>Remodel from Rega RB</t>
  </si>
  <si>
    <t>Distance is rounded upto 223mm unreasonably in the following literature</t>
  </si>
  <si>
    <t>Ortofon</t>
  </si>
  <si>
    <t>A212</t>
  </si>
  <si>
    <t>210-212</t>
  </si>
  <si>
    <t>14.2-12.2</t>
  </si>
  <si>
    <t>for monaural cartridge with short shell: type AB/AD/CB. Arm geometry is estimated from catalog: Linear Offset 84mm?, lateral projection length 208mm, L=SQRT(84^2+208^2) OFFSET=ATAN(84/208) designed for SP mainly</t>
  </si>
  <si>
    <t>RMG-212 &amp; RS-212</t>
  </si>
  <si>
    <t>RS-212 (1967) with antiskating/armlifter/triangle base/7-female terminals was reissued as limited product (round base/5 male terminals) RS-212 SPECIAL in 1983.  French review (1967) at VE library.</t>
  </si>
  <si>
    <t>RMG-309</t>
  </si>
  <si>
    <t>Improved models RMG309i &amp; 212i (year 1994 project by Ortofon Japan) have offset angle each 16 degree and 23 degree as per Ortofon Japan.</t>
  </si>
  <si>
    <t>SMG-212/SKG-212/AS-212/AS-212MkII</t>
  </si>
  <si>
    <t>HP indicates lateral length as 9-1/8(231.8mm) including SPU shell top. Cheapest SKG: J shape short arm. SMG MKII with revised weight dial upto 6g/turn</t>
  </si>
  <si>
    <t>Ortofon-Japan</t>
  </si>
  <si>
    <t xml:space="preserve">AS-212i </t>
  </si>
  <si>
    <t xml:space="preserve">AS-212i is project by Ortofon Japan 2002.  </t>
  </si>
  <si>
    <t>AS-309i</t>
  </si>
  <si>
    <t>59/118</t>
  </si>
  <si>
    <t xml:space="preserve">AS-309i is project by Ortofon Japan 2002 (I don’t know AS-309 original) </t>
  </si>
  <si>
    <t>AS-212S</t>
  </si>
  <si>
    <t>Year 2006 (One Point Cross Suspension System by JELCO ) another project by Ortofon Japan</t>
  </si>
  <si>
    <t>AS-309S</t>
  </si>
  <si>
    <t>65/147</t>
  </si>
  <si>
    <t xml:space="preserve">Year 2006 (bearings by JELCO) another project by Ortofon Japan. </t>
  </si>
  <si>
    <t>RS-212D</t>
  </si>
  <si>
    <t>Dynamic balance arm: Year 2007 another project by Ortofon Japan. It should be renamed as "Jortofon"!!! Supplied together wiith Cartridge Digital Scale DS-1</t>
  </si>
  <si>
    <t>RS-309D</t>
  </si>
  <si>
    <t>Pickering</t>
  </si>
  <si>
    <t>Model 190D (around 1954), 190B etc</t>
  </si>
  <si>
    <t>around 20</t>
  </si>
  <si>
    <t xml:space="preserve">spring suspension load. Length 10.5inch, Overhang about 1/4inch as per manual. </t>
  </si>
  <si>
    <t>Pickering/Stanton</t>
  </si>
  <si>
    <t>Fluxvalve-Unipoise Model 194</t>
  </si>
  <si>
    <t>52/103</t>
  </si>
  <si>
    <t xml:space="preserve">Distance 8inch, Overhang 1/2inch, Offset of Head 21degrees. US Patent by Stanton 2993698(1961) </t>
  </si>
  <si>
    <t xml:space="preserve">Stanton Unipoise Model 200 </t>
  </si>
  <si>
    <t>57/101</t>
  </si>
  <si>
    <t xml:space="preserve">VTF weight sliding on wand. Overhang 17/32inch(13.5mm) as per US Patent by Stanton 3231283(1966). L=221or220.4mm? </t>
  </si>
  <si>
    <t>Unipoise with anti-skating device</t>
  </si>
  <si>
    <t>60/126</t>
  </si>
  <si>
    <t>Error +/-1.7degrees. This type of arm was mounted on Stanton 8004 II &amp; Pickering FA112/FA145 turntables. The anti-skating device might be based on US Patent 3948529(1976) invented by Wittenberg and assigned to Pickering &amp; Company.</t>
  </si>
  <si>
    <t>Pluto</t>
  </si>
  <si>
    <t>2a/3a/4c with fixed shell holes. 5A/9A with oblong shell holes.</t>
  </si>
  <si>
    <t>66/122</t>
  </si>
  <si>
    <t>If it is based on DIN45547(stereo records) inmost groove diameter 115mm, then its Baerwald alignment should have different null radii set than conventinal inmost groove radius assumed as 60.325mm. Fixed holes shell. Figure 115mm for bias adjustment (at th</t>
  </si>
  <si>
    <t>Project</t>
  </si>
  <si>
    <t>arm mounted on 0.5/Debut/1 Xpression/1.2 series</t>
  </si>
  <si>
    <t>Basic Baerwald Alignment? But it is questionable since Project Alignment Tool (remodel of Dennessen?) is indicating 4 different geometries and linear offsets so that these four geometries shall have different null points each other though mirror stage has</t>
  </si>
  <si>
    <t>for 6.1/2 Xperience/2.9 Wood/6.9/RPM 4/6/9 &amp; Studie</t>
  </si>
  <si>
    <t>10inch arm for model 2</t>
  </si>
  <si>
    <t>12inch arm for Studie</t>
  </si>
  <si>
    <t>Basic Baerwald Alignment? Distance is mentioned as 292mm, then L=305.2mm instead of 305mm for correct Baerwald alignment.</t>
  </si>
  <si>
    <t>Rega</t>
  </si>
  <si>
    <t>RB250/RB300/RB600/RB700/RB900/RB1000</t>
  </si>
  <si>
    <t xml:space="preserve">Offset 21.63 was given by bkearns 11/2/2002 at Vinyl Asylum to comply with alignment template (distance 222mm null 60mm) for RB series. Different alignment is possible such as D223/L240/A22 or D222/L238/A22 </t>
  </si>
  <si>
    <t>Rek-O-Kut</t>
  </si>
  <si>
    <t>Micropoise S-220 &amp; S-120 for 12inch records</t>
  </si>
  <si>
    <t>56/103</t>
  </si>
  <si>
    <t xml:space="preserve">Peculiar design of shell with round hole in centre to mount snap-on brass weight </t>
  </si>
  <si>
    <t>Micropoise S-260 &amp; S-160 for 16inch records</t>
  </si>
  <si>
    <t>73/150</t>
  </si>
  <si>
    <t xml:space="preserve">Stylus location 5cm(=1 31/32inch) from shell neck (same as SME+Shure). Cartridge mouting point to stylus about 1cm. 9.5mm as per IEC98(1986) might be originated from 3/8inch. </t>
  </si>
  <si>
    <t>Roksan</t>
  </si>
  <si>
    <t>Artemiz/Tabriz/Nima</t>
  </si>
  <si>
    <t>68/118</t>
  </si>
  <si>
    <t xml:space="preserve">Nima is uni-pivot arm with antiskating mechanism and flexible PCB internal wiring (VTF range: 1.5-3.5g) </t>
  </si>
  <si>
    <t>Schroeder</t>
  </si>
  <si>
    <t>Model DPS and Model 2</t>
  </si>
  <si>
    <t>Arm distance for these arms is said as same as Rega</t>
  </si>
  <si>
    <t>Shure</t>
  </si>
  <si>
    <t>Model 901D (around 1949)</t>
  </si>
  <si>
    <t>22?</t>
  </si>
  <si>
    <t>Overhang 1/4?(or 2/4-1/6 as vague drawing ) Die-cast aluminum arm with crystal elements "Turnover" type cartridge: osmium 3mil tip for SP &amp; saphire 1mil tip for LP(mono)</t>
  </si>
  <si>
    <t>M12 (M212/M222)</t>
  </si>
  <si>
    <t>for 12inch records. Original(1957) equipped with cartridge Mono LP=M1 or SP=M2</t>
  </si>
  <si>
    <t>M16 (M216/M226)</t>
  </si>
  <si>
    <r>
      <t xml:space="preserve">for 16inch records. True offset </t>
    </r>
    <r>
      <rPr>
        <b/>
        <sz val="11"/>
        <rFont val="Times New Roman"/>
        <family val="1"/>
      </rPr>
      <t>less than 18 degrees</t>
    </r>
    <r>
      <rPr>
        <sz val="11"/>
        <rFont val="Times New Roman"/>
        <family val="1"/>
      </rPr>
      <t xml:space="preserve"> (cantilever offset around 18degrees)</t>
    </r>
  </si>
  <si>
    <t>Professional Arm M 232 (1960)</t>
  </si>
  <si>
    <t>less than 18degrees?</t>
  </si>
  <si>
    <r>
      <t xml:space="preserve">for 12inch records. Plug-in head with fixed offset (Model A23H) for M23x series. </t>
    </r>
    <r>
      <rPr>
        <sz val="11"/>
        <rFont val="Times New Roman"/>
        <family val="1"/>
      </rPr>
      <t>"professional" because it can play every format of records (LP/EP/SP)</t>
    </r>
  </si>
  <si>
    <t>Professional Arm M 236 (1960)</t>
  </si>
  <si>
    <r>
      <t xml:space="preserve">for 16inch records. Plug-in head with fixed offset (Model A23H) for M23x series. </t>
    </r>
    <r>
      <rPr>
        <sz val="11"/>
        <rFont val="Times New Roman"/>
        <family val="1"/>
      </rPr>
      <t>"professional" because it can play every format of records (coarse &amp; fine groove 16inches)</t>
    </r>
  </si>
  <si>
    <t>SME</t>
  </si>
  <si>
    <t>3012 Series I &amp; II</t>
  </si>
  <si>
    <t>Distance 11.58inch=294mm as per brochure</t>
  </si>
  <si>
    <t>3009 Series I &amp; II</t>
  </si>
  <si>
    <t>Distance 8.43inch=214mm as per brochure</t>
  </si>
  <si>
    <t>3009SeriesII imp(early)</t>
  </si>
  <si>
    <t>Stevenson (Linear Offset 88.87mm)</t>
  </si>
  <si>
    <t>3009imp (later)</t>
  </si>
  <si>
    <r>
      <t xml:space="preserve">Baerwald (Linear Offset 93.445mm) Later model: from </t>
    </r>
    <r>
      <rPr>
        <b/>
        <sz val="11"/>
        <rFont val="Times New Roman"/>
        <family val="1"/>
      </rPr>
      <t>Serial Number 439606</t>
    </r>
    <r>
      <rPr>
        <sz val="11"/>
        <rFont val="Times New Roman"/>
        <family val="1"/>
      </rPr>
      <t xml:space="preserve"> on (as per Brian on Vinyl Asylum on 18/4/2002)</t>
    </r>
  </si>
  <si>
    <t>3009III &amp;3009IIIS (Original Wand:CA-1)</t>
  </si>
  <si>
    <t>Bedplate Centre to Spindle 215.4mm is indicated as design value not for alignment proper. Null point at 60mm with smaller shell (Original). CA-1modified shell is about 4mm longer than original.</t>
  </si>
  <si>
    <t xml:space="preserve">3009III &amp; 3009IIIS (Modified Wand) </t>
  </si>
  <si>
    <t>Baerwald (Linear Offset 93.445mm) with larger shell (Modified). IIIS is simplified version of III omitting lateral balance.</t>
  </si>
  <si>
    <t>3009R</t>
  </si>
  <si>
    <t>Baerwald (Linear Offset 93.445mm)</t>
  </si>
  <si>
    <t>3010R</t>
  </si>
  <si>
    <t>3012R</t>
  </si>
  <si>
    <t>V/IV</t>
  </si>
  <si>
    <t>63.6/119.5</t>
  </si>
  <si>
    <t xml:space="preserve">Linear Offset 91.535mm New Design similar to Stevenson Type 1A for 12inch LP proper since SP/EP were no more main sources. </t>
  </si>
  <si>
    <t>Linear Offset 91.535mm New Design similar to Stevenson Type 1A for 12inch LP proper since SP/EP were no more main sources.</t>
  </si>
  <si>
    <t>63.66/119.41</t>
  </si>
  <si>
    <t>M2-9</t>
  </si>
  <si>
    <t>M2-10</t>
  </si>
  <si>
    <t>M2-12</t>
  </si>
  <si>
    <t>Baerwald (Linear Offset 93.445mm). Overhang 13.21instead of 13.2: Inch base L12.16/D11.64/O0.52</t>
  </si>
  <si>
    <t>Sonus</t>
  </si>
  <si>
    <t xml:space="preserve">Formula IV </t>
  </si>
  <si>
    <t>Very similar to Mayware Formula IV and JH. Protractor indicates so-called Stevenson type alignment suitable for 7" &amp; 12"records..</t>
  </si>
  <si>
    <t>Spiral Groove</t>
  </si>
  <si>
    <t>SG Tone Arm with "Balanced Force Design"</t>
  </si>
  <si>
    <t>about 10inch (actually shorter than 254mm?)</t>
  </si>
  <si>
    <t>"Spiral Groove"was founded by Allen Perkins/IMMEDIA and Lisa Thomas in 2005.</t>
  </si>
  <si>
    <t>Stronberg-Carson</t>
  </si>
  <si>
    <t>RA-498</t>
  </si>
  <si>
    <t>56/96</t>
  </si>
  <si>
    <t>Arm distance is 8.25inch. Offset and length measured from drawing in manual. US Patent by Siebert 3028161(1962)</t>
  </si>
  <si>
    <t xml:space="preserve">SUMIKO </t>
  </si>
  <si>
    <t>MMT/FT-3/FT-4</t>
  </si>
  <si>
    <t>OEM Jelco with One Point Cross Suspention Sytem</t>
  </si>
  <si>
    <t>MDC-800</t>
  </si>
  <si>
    <t>Common Gimbal (non-Jelco?)</t>
  </si>
  <si>
    <t>Syrinx</t>
  </si>
  <si>
    <t>PU-2</t>
  </si>
  <si>
    <t>60/121</t>
  </si>
  <si>
    <t xml:space="preserve">PU-2 with minimum sliding shell &amp; mass ring for low compliance cartridge. PU-3 etc with fixed shell. Offset between 23-23.5degrees. </t>
  </si>
  <si>
    <t>PU-3</t>
  </si>
  <si>
    <t>Alignment of tip with black 60mm lines? The arm length/overhang is adjusted by rotating arm tube. Without prtoractor it is impossible to estimate actual geometry.</t>
  </si>
  <si>
    <t>LE-1 (1982)</t>
  </si>
  <si>
    <t>61/117</t>
  </si>
  <si>
    <t>Stevenson type alignment?</t>
  </si>
  <si>
    <t>Thorens</t>
  </si>
  <si>
    <t>BL104</t>
  </si>
  <si>
    <t>Grey painted arm mounted on TD134 (1959) &amp; TD184 (1958) both platter size 25cm.</t>
  </si>
  <si>
    <t>BTD-12S</t>
  </si>
  <si>
    <t>Original arm for TD-135 (1961) with SME type shell connector. Original black shell is designed for Ronette Turnover cartridges with top fixing bolt for overhang adjustment. Similar arm was mounted on Telefunken Studio 220(around 1963) etc</t>
  </si>
  <si>
    <t>TP11 coupled with shell TP60</t>
  </si>
  <si>
    <t>54/118</t>
  </si>
  <si>
    <t>Mounted on TD165 etc</t>
  </si>
  <si>
    <t>TP11 II coupled with TP62</t>
  </si>
  <si>
    <t>Mounted on TD166II etc. "Isotrak"type wand TP62 had sliding light-weight minimum shell.</t>
  </si>
  <si>
    <t>TP11 III with wand TP63+shell TP64</t>
  </si>
  <si>
    <t xml:space="preserve">The manual for TD166II/TD146 indicated TP11III/TP63 L230mm, Offset 22degrees? </t>
  </si>
  <si>
    <t>TP12</t>
  </si>
  <si>
    <t xml:space="preserve">Arm (modified from BTD-12S?) with anti-skating device for TD124 and TD124 II </t>
  </si>
  <si>
    <t>TP13 coupled with shell TP50(1965)</t>
  </si>
  <si>
    <t xml:space="preserve">Alignment method(overhang) and geometry are differing between TP13 for TD150 and TP13A for TD150II. </t>
  </si>
  <si>
    <t>TP13A coupled with shell TP50(1969)</t>
  </si>
  <si>
    <t>59/114</t>
  </si>
  <si>
    <t>Antiskating mechanism and unique spherical counter weight. Mounted on TD150II(1969) etc</t>
  </si>
  <si>
    <t>TP14 coupled with shell TP50</t>
  </si>
  <si>
    <t>Plug-in shell TP50 (non-SME type?). Length 210mm &amp; Overhang 20mm as per manual of TP14. TP-14 was equipped on TD-135II(1965)</t>
  </si>
  <si>
    <t>TP16 with shell TP60 (around 1972)</t>
  </si>
  <si>
    <t xml:space="preserve">Mounted on TD125II etc. TP-60 is a detachable shell with offset while TP-50 is straight shell without offset and not applicable to TP-16. </t>
  </si>
  <si>
    <t>TP16II with TP62 (around 1974)</t>
  </si>
  <si>
    <t>Mounted on TD160II etc. "Isotrak"type wand TP62 had light-weight minimum shell.</t>
  </si>
  <si>
    <t>TP16III with wand TP63+shell TP64</t>
  </si>
  <si>
    <t>Original operation manuals for TD160II/TD166II and TD126III described different dimentions of arm.</t>
  </si>
  <si>
    <t>TP16IV with shell TP68 (around 1986)</t>
  </si>
  <si>
    <t xml:space="preserve">TP68 shell is fixed by bolt on wand for lateral inclination adjustment of shell. </t>
  </si>
  <si>
    <t>TP16L(TP16IIIL/TP16IVL/TP16VL)</t>
  </si>
  <si>
    <t>67/127</t>
  </si>
  <si>
    <t xml:space="preserve">TP16 IV L with shell TP68 is integral arm while TP16 III L is to be coupled with head tube TP63. </t>
  </si>
  <si>
    <t>TP21 coupled with shell TP68</t>
  </si>
  <si>
    <t>Mounted on TD316(auto-stop) &amp; TD318(manual)</t>
  </si>
  <si>
    <t>TP22 coupled with TP63</t>
  </si>
  <si>
    <t>57/116</t>
  </si>
  <si>
    <t>for TD104/5Original(1978) &amp;MKII(1980/1)</t>
  </si>
  <si>
    <t>TP25 with shell TP50</t>
  </si>
  <si>
    <t>TP28 coupled with shell TP68</t>
  </si>
  <si>
    <t>Mounted on TD280(1985-91) etc</t>
  </si>
  <si>
    <t>TP29 (=TP929?)</t>
  </si>
  <si>
    <t>Same geometry as EMT929. SME type shell connector model (929S) was also available</t>
  </si>
  <si>
    <t>TP30 with wand TP70</t>
  </si>
  <si>
    <t>mountred on TD115 and TD110 (around 1978)</t>
  </si>
  <si>
    <t>TP35 coupled with shell TP55</t>
  </si>
  <si>
    <t>56/116</t>
  </si>
  <si>
    <t xml:space="preserve">mountred on TD280 IV (1979) only. Geometry is dubious. </t>
  </si>
  <si>
    <t>TP50 coupled with shell TP55</t>
  </si>
  <si>
    <t>66/119</t>
  </si>
  <si>
    <t>TP50 arm assy name is confusing with headshell name TP50 in the past!</t>
  </si>
  <si>
    <t>TP90 coupled with shell TP95</t>
  </si>
  <si>
    <t>Mounted on TD320III etc. TP90SF/TP90S has fixed headshell.</t>
  </si>
  <si>
    <t>TP90L coupled with shell TP96</t>
  </si>
  <si>
    <t xml:space="preserve">Typical Baerwald alignment. </t>
  </si>
  <si>
    <t>TP97 (=TP997?)</t>
  </si>
  <si>
    <t>63/121</t>
  </si>
  <si>
    <t>Similar geometry as EMT997? SME type shell connector model (997S) was also available</t>
  </si>
  <si>
    <t>Transcriptors</t>
  </si>
  <si>
    <t xml:space="preserve"> Vestigial (also supplied from Michell)</t>
  </si>
  <si>
    <t>62/132</t>
  </si>
  <si>
    <r>
      <t>There are scarecely data for this arm except error angle Max 2.5 and length 222mm(SS)=overall length 8.75inch(222.25mm) as per manual, then effective length might be shorter than that! Pivot to tip:1 3/8inch=35mm "Vestigial" because of this shortest arm f</t>
    </r>
    <r>
      <rPr>
        <sz val="11"/>
        <rFont val="Times New Roman"/>
        <family val="1"/>
      </rPr>
      <t>or vertical movement.</t>
    </r>
  </si>
  <si>
    <t>Well Tempered</t>
  </si>
  <si>
    <t>No fixed version available</t>
  </si>
  <si>
    <t>Eccentric arm base distance is indicated as 9.2inch=234mm. Arm tube has adjustable end with oblong hole for mounting cartridge-hence any alignment is possible combined with the rotation of arm base.</t>
  </si>
  <si>
    <t>Wheaton</t>
  </si>
  <si>
    <t>Tri-Planar MKIV Ultimate</t>
  </si>
  <si>
    <t>Baerwald type alignment</t>
  </si>
  <si>
    <t>Wilson Benesch</t>
  </si>
  <si>
    <t>ACT2 &amp; ACT 0.5</t>
  </si>
  <si>
    <t>Effective Length 237mm and not 280mm (total length including counterweight shaft?). The actual geometry is unknown though protractor show one null point around 66mm</t>
  </si>
  <si>
    <t>Zeta</t>
  </si>
  <si>
    <t>68/116</t>
  </si>
  <si>
    <t>This resembled to Mission Mechanic in design, geometry and construction.</t>
  </si>
  <si>
    <r>
      <t>N</t>
    </r>
    <r>
      <rPr>
        <sz val="11"/>
        <rFont val="Times New Roman"/>
        <family val="1"/>
      </rPr>
      <t>ote:</t>
    </r>
  </si>
  <si>
    <t>Some old &amp; longer arms are designed for transcription or sound track record (16inches).</t>
  </si>
  <si>
    <r>
      <t>I think there was standard broadcasting equipment recommended by NAB in USA or BTS in Japan</t>
    </r>
    <r>
      <rPr>
        <sz val="11"/>
        <rFont val="Times New Roman"/>
        <family val="1"/>
      </rPr>
      <t>.</t>
    </r>
  </si>
  <si>
    <t>It is interesting to note that the distance (from arm pivot to turntable spindle) of such arms</t>
  </si>
  <si>
    <t>(Audio-Technica AT-1501II, Denon DA-302, Grace G565 &amp; Gray 108 etc) is mostly around 270mm.</t>
  </si>
  <si>
    <r>
      <t>A</t>
    </r>
    <r>
      <rPr>
        <sz val="11"/>
        <rFont val="Times New Roman"/>
        <family val="1"/>
      </rPr>
      <t>lso Decca International/Professional arm has strange geometry in order to play back SP,EP and LP.</t>
    </r>
  </si>
  <si>
    <r>
      <t>This</t>
    </r>
    <r>
      <rPr>
        <sz val="11"/>
        <rFont val="Times New Roman"/>
        <family val="1"/>
      </rPr>
      <t xml:space="preserve"> is the meaning of "Professional" or "Broadcasting" use.</t>
    </r>
  </si>
  <si>
    <t>General Dimensions of Disks</t>
  </si>
  <si>
    <r>
      <t>S</t>
    </r>
    <r>
      <rPr>
        <sz val="11"/>
        <rFont val="Times New Roman"/>
        <family val="1"/>
      </rPr>
      <t>P 30cm</t>
    </r>
  </si>
  <si>
    <r>
      <t>E</t>
    </r>
    <r>
      <rPr>
        <sz val="11"/>
        <rFont val="Times New Roman"/>
        <family val="1"/>
      </rPr>
      <t>P 17.5cm</t>
    </r>
  </si>
  <si>
    <r>
      <t>M</t>
    </r>
    <r>
      <rPr>
        <sz val="11"/>
        <rFont val="Times New Roman"/>
        <family val="1"/>
      </rPr>
      <t>P 25cm</t>
    </r>
  </si>
  <si>
    <r>
      <t>L</t>
    </r>
    <r>
      <rPr>
        <sz val="11"/>
        <rFont val="Times New Roman"/>
        <family val="1"/>
      </rPr>
      <t>P 30cm(12inch)</t>
    </r>
  </si>
  <si>
    <r>
      <t>T</t>
    </r>
    <r>
      <rPr>
        <sz val="11"/>
        <rFont val="Times New Roman"/>
        <family val="1"/>
      </rPr>
      <t>ranscription 16inch Disks as specified in IEC98-1958</t>
    </r>
  </si>
  <si>
    <r>
      <t>I</t>
    </r>
    <r>
      <rPr>
        <sz val="11"/>
        <rFont val="Times New Roman"/>
        <family val="1"/>
      </rPr>
      <t>nnermost radius (</t>
    </r>
    <r>
      <rPr>
        <b/>
        <sz val="11"/>
        <rFont val="Times New Roman"/>
        <family val="1"/>
      </rPr>
      <t>mm</t>
    </r>
    <r>
      <rPr>
        <sz val="11"/>
        <rFont val="Times New Roman"/>
        <family val="1"/>
      </rPr>
      <t>) of music groove</t>
    </r>
  </si>
  <si>
    <r>
      <t>4</t>
    </r>
    <r>
      <rPr>
        <sz val="11"/>
        <rFont val="Times New Roman"/>
        <family val="1"/>
      </rPr>
      <t>7.6 RIAA</t>
    </r>
  </si>
  <si>
    <r>
      <t>5</t>
    </r>
    <r>
      <rPr>
        <sz val="11"/>
        <rFont val="Times New Roman"/>
        <family val="1"/>
      </rPr>
      <t>3 JIS</t>
    </r>
  </si>
  <si>
    <r>
      <t>5</t>
    </r>
    <r>
      <rPr>
        <sz val="11"/>
        <rFont val="Times New Roman"/>
        <family val="1"/>
      </rPr>
      <t>7.6 JIS</t>
    </r>
  </si>
  <si>
    <r>
      <t>5</t>
    </r>
    <r>
      <rPr>
        <sz val="11"/>
        <rFont val="Times New Roman"/>
        <family val="1"/>
      </rPr>
      <t>7.5 DIN/57.6 JIS</t>
    </r>
  </si>
  <si>
    <r>
      <t>6</t>
    </r>
    <r>
      <rPr>
        <sz val="11"/>
        <rFont val="Times New Roman"/>
        <family val="1"/>
      </rPr>
      <t xml:space="preserve">0 for fine groove 33.3rpm, </t>
    </r>
    <r>
      <rPr>
        <b/>
        <sz val="11"/>
        <rFont val="Times New Roman"/>
        <family val="1"/>
      </rPr>
      <t>47.5 for coarse groove 78rpm</t>
    </r>
    <r>
      <rPr>
        <sz val="11"/>
        <rFont val="Times New Roman"/>
        <family val="1"/>
      </rPr>
      <t>, 95 for coarse groove 33.3rpm</t>
    </r>
  </si>
  <si>
    <r>
      <t>Outermost radius (</t>
    </r>
    <r>
      <rPr>
        <b/>
        <sz val="11"/>
        <rFont val="Times New Roman"/>
        <family val="1"/>
      </rPr>
      <t>mm</t>
    </r>
    <r>
      <rPr>
        <sz val="11"/>
        <rFont val="Times New Roman"/>
        <family val="1"/>
      </rPr>
      <t>) of beginning or music groove</t>
    </r>
  </si>
  <si>
    <r>
      <t>146.3</t>
    </r>
    <r>
      <rPr>
        <sz val="11"/>
        <rFont val="Times New Roman"/>
        <family val="1"/>
      </rPr>
      <t xml:space="preserve"> IEC/RIAA</t>
    </r>
  </si>
  <si>
    <r>
      <t>8</t>
    </r>
    <r>
      <rPr>
        <sz val="11"/>
        <rFont val="Times New Roman"/>
        <family val="1"/>
      </rPr>
      <t>4 JIS</t>
    </r>
  </si>
  <si>
    <r>
      <t>1</t>
    </r>
    <r>
      <rPr>
        <sz val="11"/>
        <rFont val="Times New Roman"/>
        <family val="1"/>
      </rPr>
      <t>21 JIS</t>
    </r>
  </si>
  <si>
    <r>
      <t>14</t>
    </r>
    <r>
      <rPr>
        <sz val="11"/>
        <rFont val="Times New Roman"/>
        <family val="1"/>
      </rPr>
      <t>6.3 IEC/146.5 JIS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</si>
</sst>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_ "/>
    <numFmt numFmtId="179" formatCode="0.00_ "/>
    <numFmt numFmtId="180" formatCode="0.000_ "/>
    <numFmt numFmtId="181" formatCode="0.000_);[Red]\(0.000\)"/>
    <numFmt numFmtId="182" formatCode="0.00_);[Red]\(0.00\)"/>
    <numFmt numFmtId="183" formatCode="0.0"/>
    <numFmt numFmtId="184" formatCode="0.0%"/>
    <numFmt numFmtId="185" formatCode="0.0_);[Red]\(0.0\)"/>
    <numFmt numFmtId="186" formatCode="0_ "/>
  </numFmts>
  <fonts count="75">
    <font>
      <sz val="11"/>
      <name val="Times New Roman"/>
      <family val="1"/>
    </font>
    <font>
      <sz val="11"/>
      <name val="ＭＳ Ｐゴシック"/>
      <family val="3"/>
    </font>
    <font>
      <b/>
      <sz val="11"/>
      <name val="Times New Roman"/>
      <family val="1"/>
    </font>
    <font>
      <i/>
      <sz val="11"/>
      <name val="Times New Roman"/>
      <family val="1"/>
    </font>
    <font>
      <b/>
      <i/>
      <sz val="11"/>
      <name val="Times New Roman"/>
      <family val="1"/>
    </font>
    <font>
      <u val="single"/>
      <sz val="11"/>
      <color indexed="12"/>
      <name val="Times New Roman"/>
      <family val="1"/>
    </font>
    <font>
      <sz val="14"/>
      <color indexed="10"/>
      <name val="Times New Roman"/>
      <family val="1"/>
    </font>
    <font>
      <b/>
      <sz val="11"/>
      <name val="ＭＳ Ｐゴシック"/>
      <family val="3"/>
    </font>
    <font>
      <b/>
      <sz val="18"/>
      <name val="Times New Roman"/>
      <family val="1"/>
    </font>
    <font>
      <sz val="10"/>
      <name val="Times New Roman"/>
      <family val="1"/>
    </font>
    <font>
      <b/>
      <sz val="10"/>
      <name val="Times New Roman"/>
      <family val="1"/>
    </font>
    <font>
      <i/>
      <sz val="10"/>
      <name val="Times New Roman"/>
      <family val="1"/>
    </font>
    <font>
      <b/>
      <i/>
      <sz val="10"/>
      <name val="Times New Roman"/>
      <family val="1"/>
    </font>
    <font>
      <u val="single"/>
      <sz val="10"/>
      <name val="Times New Roman"/>
      <family val="1"/>
    </font>
    <font>
      <sz val="10"/>
      <name val="ＭＳ Ｐ明朝"/>
      <family val="1"/>
    </font>
    <font>
      <i/>
      <sz val="10"/>
      <color indexed="10"/>
      <name val="Times New Roman"/>
      <family val="1"/>
    </font>
    <font>
      <b/>
      <sz val="10"/>
      <color indexed="10"/>
      <name val="Times New Roman"/>
      <family val="1"/>
    </font>
    <font>
      <sz val="14"/>
      <name val="Times New Roman"/>
      <family val="1"/>
    </font>
    <font>
      <b/>
      <sz val="14"/>
      <name val="Times New Roman"/>
      <family val="1"/>
    </font>
    <font>
      <b/>
      <u val="single"/>
      <sz val="11"/>
      <name val="Times New Roman"/>
      <family val="1"/>
    </font>
    <font>
      <b/>
      <u val="single"/>
      <sz val="10"/>
      <name val="Times New Roman"/>
      <family val="1"/>
    </font>
    <font>
      <sz val="10"/>
      <color indexed="10"/>
      <name val="Times New Roman"/>
      <family val="1"/>
    </font>
    <font>
      <sz val="10"/>
      <name val="ＭＳ Ｐゴシック"/>
      <family val="3"/>
    </font>
    <font>
      <sz val="16"/>
      <name val="Times New Roman"/>
      <family val="1"/>
    </font>
    <font>
      <sz val="11"/>
      <color indexed="9"/>
      <name val="ＭＳ Ｐゴシック"/>
      <family val="3"/>
    </font>
    <font>
      <sz val="11"/>
      <color indexed="62"/>
      <name val="ＭＳ Ｐゴシック"/>
      <family val="3"/>
    </font>
    <font>
      <sz val="11"/>
      <color indexed="8"/>
      <name val="ＭＳ Ｐゴシック"/>
      <family val="3"/>
    </font>
    <font>
      <u val="single"/>
      <sz val="11"/>
      <color indexed="20"/>
      <name val="ＭＳ Ｐゴシック"/>
      <family val="3"/>
    </font>
    <font>
      <sz val="11"/>
      <color indexed="19"/>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sz val="11"/>
      <color indexed="53"/>
      <name val="ＭＳ Ｐゴシック"/>
      <family val="3"/>
    </font>
    <font>
      <sz val="18"/>
      <color indexed="54"/>
      <name val="ＭＳ Ｐゴシック"/>
      <family val="3"/>
    </font>
    <font>
      <i/>
      <sz val="11"/>
      <color indexed="23"/>
      <name val="ＭＳ Ｐゴシック"/>
      <family val="3"/>
    </font>
    <font>
      <b/>
      <sz val="11"/>
      <color indexed="63"/>
      <name val="ＭＳ Ｐゴシック"/>
      <family val="3"/>
    </font>
    <font>
      <sz val="12"/>
      <name val="Times New Roman"/>
      <family val="1"/>
    </font>
    <font>
      <b/>
      <sz val="15"/>
      <color indexed="54"/>
      <name val="ＭＳ Ｐゴシック"/>
      <family val="3"/>
    </font>
    <font>
      <b/>
      <sz val="13"/>
      <color indexed="54"/>
      <name val="ＭＳ Ｐゴシック"/>
      <family val="3"/>
    </font>
    <font>
      <b/>
      <sz val="11"/>
      <color indexed="9"/>
      <name val="ＭＳ Ｐゴシック"/>
      <family val="3"/>
    </font>
    <font>
      <b/>
      <sz val="11"/>
      <color indexed="53"/>
      <name val="ＭＳ Ｐゴシック"/>
      <family val="3"/>
    </font>
    <font>
      <b/>
      <sz val="11"/>
      <color indexed="54"/>
      <name val="ＭＳ Ｐゴシック"/>
      <family val="3"/>
    </font>
    <font>
      <sz val="11"/>
      <color indexed="16"/>
      <name val="ＭＳ Ｐゴシック"/>
      <family val="3"/>
    </font>
    <font>
      <b/>
      <sz val="11"/>
      <color indexed="8"/>
      <name val="ＭＳ Ｐゴシック"/>
      <family val="3"/>
    </font>
    <font>
      <sz val="11"/>
      <name val="ＭＳ Ｐ明朝"/>
      <family val="1"/>
    </font>
    <font>
      <b/>
      <sz val="11"/>
      <name val="ＭＳ Ｐ明朝"/>
      <family val="1"/>
    </font>
    <font>
      <b/>
      <sz val="14"/>
      <color indexed="10"/>
      <name val="Times New Roman"/>
      <family val="1"/>
    </font>
    <font>
      <u val="single"/>
      <sz val="10"/>
      <name val="ＭＳ Ｐゴシック"/>
      <family val="3"/>
    </font>
    <font>
      <sz val="9.25"/>
      <color indexed="8"/>
      <name val="Times New Roman"/>
      <family val="0"/>
    </font>
    <font>
      <sz val="10.25"/>
      <color indexed="8"/>
      <name val="Times New Roman"/>
      <family val="0"/>
    </font>
    <font>
      <sz val="8.5"/>
      <color indexed="8"/>
      <name val="Times New Roman"/>
      <family val="0"/>
    </font>
    <font>
      <sz val="14"/>
      <color indexed="8"/>
      <name val="Times New Roman"/>
      <family val="0"/>
    </font>
    <font>
      <sz val="10"/>
      <color indexed="8"/>
      <name val="Times New Roman"/>
      <family val="0"/>
    </font>
    <font>
      <sz val="11"/>
      <color indexed="8"/>
      <name val="Times New Roman"/>
      <family val="0"/>
    </font>
    <font>
      <b/>
      <sz val="12"/>
      <color indexed="8"/>
      <name val="Times New Roman"/>
      <family val="0"/>
    </font>
    <font>
      <sz val="12"/>
      <color indexed="8"/>
      <name val="Times New Roman"/>
      <family val="0"/>
    </font>
    <font>
      <sz val="11"/>
      <color rgb="FF3F3F76"/>
      <name val="Calibri"/>
      <family val="3"/>
    </font>
    <font>
      <sz val="11"/>
      <color indexed="8"/>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rgb="FFFF0000"/>
      <name val="Times New Roman"/>
      <family val="1"/>
    </font>
  </fonts>
  <fills count="37">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5"/>
        <bgColor indexed="64"/>
      </patternFill>
    </fill>
    <fill>
      <patternFill patternType="solid">
        <fgColor theme="7" tint="0.7999799847602844"/>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56" fillId="2" borderId="1" applyNumberFormat="0" applyAlignment="0" applyProtection="0"/>
    <xf numFmtId="176" fontId="57" fillId="0" borderId="0" applyFont="0" applyFill="0" applyBorder="0" applyAlignment="0" applyProtection="0"/>
    <xf numFmtId="0" fontId="9" fillId="0" borderId="0">
      <alignment/>
      <protection/>
    </xf>
    <xf numFmtId="8" fontId="0" fillId="0" borderId="0" applyFont="0" applyFill="0" applyBorder="0" applyAlignment="0" applyProtection="0"/>
    <xf numFmtId="0" fontId="1" fillId="0" borderId="0">
      <alignment vertical="center"/>
      <protection/>
    </xf>
    <xf numFmtId="0" fontId="58" fillId="3" borderId="0" applyNumberFormat="0" applyBorder="0" applyAlignment="0" applyProtection="0"/>
    <xf numFmtId="177" fontId="57" fillId="0" borderId="0" applyFont="0" applyFill="0" applyBorder="0" applyAlignment="0" applyProtection="0"/>
    <xf numFmtId="9" fontId="0" fillId="0" borderId="0" applyFont="0" applyFill="0" applyBorder="0" applyAlignment="0" applyProtection="0"/>
    <xf numFmtId="0" fontId="1" fillId="0" borderId="0">
      <alignment/>
      <protection/>
    </xf>
    <xf numFmtId="0" fontId="29" fillId="0" borderId="0" applyNumberFormat="0" applyFill="0" applyBorder="0" applyAlignment="0" applyProtection="0"/>
    <xf numFmtId="0" fontId="59" fillId="4" borderId="0" applyNumberFormat="0" applyBorder="0" applyAlignment="0" applyProtection="0"/>
    <xf numFmtId="0" fontId="27" fillId="0" borderId="0" applyNumberFormat="0" applyFill="0" applyBorder="0" applyAlignment="0" applyProtection="0"/>
    <xf numFmtId="0" fontId="58" fillId="5" borderId="0" applyNumberFormat="0" applyBorder="0" applyAlignment="0" applyProtection="0"/>
    <xf numFmtId="0" fontId="0" fillId="6" borderId="2" applyNumberFormat="0" applyFont="0" applyAlignment="0" applyProtection="0"/>
    <xf numFmtId="0" fontId="60" fillId="7" borderId="0" applyNumberFormat="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8" borderId="0" applyNumberFormat="0" applyBorder="0" applyAlignment="0" applyProtection="0"/>
    <xf numFmtId="0" fontId="65" fillId="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9" borderId="1" applyNumberFormat="0" applyAlignment="0" applyProtection="0"/>
    <xf numFmtId="0" fontId="69" fillId="0" borderId="7" applyNumberFormat="0" applyFill="0" applyAlignment="0" applyProtection="0"/>
    <xf numFmtId="0" fontId="69" fillId="0" borderId="0" applyNumberFormat="0" applyFill="0" applyBorder="0" applyAlignment="0" applyProtection="0"/>
    <xf numFmtId="0" fontId="59" fillId="10" borderId="0" applyNumberFormat="0" applyBorder="0" applyAlignment="0" applyProtection="0"/>
    <xf numFmtId="0" fontId="70" fillId="11" borderId="8" applyNumberFormat="0" applyAlignment="0" applyProtection="0"/>
    <xf numFmtId="0" fontId="58" fillId="12" borderId="0" applyNumberFormat="0" applyBorder="0" applyAlignment="0" applyProtection="0"/>
    <xf numFmtId="0" fontId="71" fillId="0" borderId="9" applyNumberFormat="0" applyFill="0" applyAlignment="0" applyProtection="0"/>
    <xf numFmtId="0" fontId="72" fillId="13" borderId="0" applyNumberFormat="0" applyBorder="0" applyAlignment="0" applyProtection="0"/>
    <xf numFmtId="0" fontId="73"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1" fillId="0" borderId="0">
      <alignment/>
      <protection/>
    </xf>
    <xf numFmtId="0" fontId="58" fillId="17"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36" fillId="0" borderId="0">
      <alignment/>
      <protection/>
    </xf>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0" fillId="0" borderId="0">
      <alignment/>
      <protection/>
    </xf>
  </cellStyleXfs>
  <cellXfs count="290">
    <xf numFmtId="0" fontId="0" fillId="0" borderId="0" xfId="0" applyAlignment="1">
      <alignment/>
    </xf>
    <xf numFmtId="0" fontId="0" fillId="0" borderId="0" xfId="20" applyFont="1">
      <alignment vertical="center"/>
      <protection/>
    </xf>
    <xf numFmtId="0" fontId="0" fillId="0" borderId="0" xfId="50" applyFont="1" applyFill="1">
      <alignment/>
      <protection/>
    </xf>
    <xf numFmtId="0" fontId="2" fillId="0" borderId="0" xfId="50" applyFont="1" applyFill="1" applyAlignment="1">
      <alignment horizontal="left"/>
      <protection/>
    </xf>
    <xf numFmtId="0" fontId="0" fillId="0" borderId="0" xfId="50" applyFont="1" applyFill="1" applyAlignment="1">
      <alignment horizontal="center"/>
      <protection/>
    </xf>
    <xf numFmtId="0" fontId="0" fillId="0" borderId="0" xfId="50" applyFont="1" applyFill="1" applyAlignment="1">
      <alignment horizontal="left"/>
      <protection/>
    </xf>
    <xf numFmtId="0" fontId="3" fillId="0" borderId="0" xfId="50" applyFont="1" applyFill="1" applyAlignment="1">
      <alignment horizontal="center"/>
      <protection/>
    </xf>
    <xf numFmtId="0" fontId="0" fillId="0" borderId="10" xfId="50" applyFont="1" applyFill="1" applyBorder="1">
      <alignment/>
      <protection/>
    </xf>
    <xf numFmtId="0" fontId="2" fillId="0" borderId="10" xfId="50" applyFont="1" applyFill="1" applyBorder="1" applyAlignment="1">
      <alignment horizontal="center"/>
      <protection/>
    </xf>
    <xf numFmtId="0" fontId="2" fillId="0" borderId="11" xfId="50" applyFont="1" applyFill="1" applyBorder="1" applyAlignment="1">
      <alignment horizontal="center"/>
      <protection/>
    </xf>
    <xf numFmtId="0" fontId="0" fillId="0" borderId="10" xfId="50" applyFont="1" applyFill="1" applyBorder="1" applyAlignment="1">
      <alignment horizontal="center"/>
      <protection/>
    </xf>
    <xf numFmtId="0" fontId="3" fillId="0" borderId="11" xfId="50" applyFont="1" applyFill="1" applyBorder="1" applyAlignment="1">
      <alignment horizontal="center"/>
      <protection/>
    </xf>
    <xf numFmtId="0" fontId="3" fillId="0" borderId="10" xfId="50" applyFont="1" applyFill="1" applyBorder="1" applyAlignment="1">
      <alignment horizontal="center"/>
      <protection/>
    </xf>
    <xf numFmtId="0" fontId="4" fillId="0" borderId="11" xfId="50" applyFont="1" applyFill="1" applyBorder="1" applyAlignment="1">
      <alignment horizontal="center"/>
      <protection/>
    </xf>
    <xf numFmtId="0" fontId="0" fillId="0" borderId="10" xfId="60" applyFont="1" applyFill="1" applyBorder="1" applyAlignment="1">
      <alignment horizontal="center"/>
      <protection/>
    </xf>
    <xf numFmtId="0" fontId="0" fillId="0" borderId="11" xfId="50" applyFont="1" applyFill="1" applyBorder="1" applyAlignment="1">
      <alignment horizontal="center"/>
      <protection/>
    </xf>
    <xf numFmtId="0" fontId="0" fillId="0" borderId="0" xfId="60" applyFont="1" applyFill="1" applyAlignment="1">
      <alignment horizontal="center"/>
      <protection/>
    </xf>
    <xf numFmtId="0" fontId="0" fillId="0" borderId="10"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2" fillId="0" borderId="10" xfId="50" applyFont="1" applyFill="1" applyBorder="1" applyAlignment="1">
      <alignment horizontal="left"/>
      <protection/>
    </xf>
    <xf numFmtId="178" fontId="3" fillId="0" borderId="11" xfId="50" applyNumberFormat="1" applyFont="1" applyFill="1" applyBorder="1" applyAlignment="1">
      <alignment horizontal="center"/>
      <protection/>
    </xf>
    <xf numFmtId="0" fontId="0" fillId="0" borderId="12" xfId="50" applyFont="1" applyFill="1" applyBorder="1" applyAlignment="1">
      <alignment horizontal="left" vertical="top" wrapText="1"/>
      <protection/>
    </xf>
    <xf numFmtId="0" fontId="0" fillId="0" borderId="13" xfId="50" applyFont="1" applyBorder="1">
      <alignment/>
      <protection/>
    </xf>
    <xf numFmtId="0" fontId="0" fillId="0" borderId="13" xfId="50" applyFont="1" applyBorder="1" applyAlignment="1">
      <alignment horizontal="left" wrapText="1"/>
      <protection/>
    </xf>
    <xf numFmtId="0" fontId="0" fillId="0" borderId="11" xfId="50" applyFont="1" applyBorder="1" applyAlignment="1">
      <alignment horizontal="left" wrapText="1"/>
      <protection/>
    </xf>
    <xf numFmtId="0" fontId="0" fillId="0" borderId="11" xfId="50" applyFont="1" applyFill="1" applyBorder="1" applyAlignment="1">
      <alignment horizontal="left"/>
      <protection/>
    </xf>
    <xf numFmtId="0" fontId="0" fillId="0" borderId="11" xfId="50" applyFont="1" applyFill="1" applyBorder="1">
      <alignment/>
      <protection/>
    </xf>
    <xf numFmtId="0" fontId="0" fillId="0" borderId="11" xfId="60" applyFont="1" applyBorder="1">
      <alignment/>
      <protection/>
    </xf>
    <xf numFmtId="0" fontId="0" fillId="0" borderId="12" xfId="50" applyFont="1" applyBorder="1" applyAlignment="1">
      <alignment/>
      <protection/>
    </xf>
    <xf numFmtId="0" fontId="0" fillId="0" borderId="14" xfId="50" applyFont="1" applyBorder="1" applyAlignment="1">
      <alignment/>
      <protection/>
    </xf>
    <xf numFmtId="0" fontId="0" fillId="0" borderId="13" xfId="50" applyFont="1" applyBorder="1" applyAlignment="1">
      <alignment/>
      <protection/>
    </xf>
    <xf numFmtId="0" fontId="2" fillId="0" borderId="11" xfId="50" applyFont="1" applyFill="1" applyBorder="1">
      <alignment/>
      <protection/>
    </xf>
    <xf numFmtId="0" fontId="0" fillId="0" borderId="10" xfId="60" applyFont="1" applyFill="1" applyBorder="1">
      <alignment/>
      <protection/>
    </xf>
    <xf numFmtId="0" fontId="0" fillId="0" borderId="11" xfId="60" applyFont="1" applyFill="1" applyBorder="1">
      <alignment/>
      <protection/>
    </xf>
    <xf numFmtId="0" fontId="0" fillId="0" borderId="15" xfId="50" applyFont="1" applyFill="1" applyBorder="1" applyAlignment="1">
      <alignment vertical="top" wrapText="1"/>
      <protection/>
    </xf>
    <xf numFmtId="0" fontId="0" fillId="0" borderId="16" xfId="50" applyFont="1" applyBorder="1">
      <alignment/>
      <protection/>
    </xf>
    <xf numFmtId="0" fontId="3" fillId="0" borderId="15" xfId="50" applyFont="1" applyFill="1" applyBorder="1" applyAlignment="1">
      <alignment vertical="top" wrapText="1"/>
      <protection/>
    </xf>
    <xf numFmtId="0" fontId="2" fillId="0" borderId="10" xfId="50" applyFont="1" applyFill="1" applyBorder="1">
      <alignment/>
      <protection/>
    </xf>
    <xf numFmtId="0" fontId="0" fillId="0" borderId="10" xfId="50" applyFont="1" applyBorder="1">
      <alignment/>
      <protection/>
    </xf>
    <xf numFmtId="0" fontId="2" fillId="0" borderId="0" xfId="20" applyFont="1" applyAlignment="1">
      <alignment horizontal="center" vertical="center"/>
      <protection/>
    </xf>
    <xf numFmtId="0" fontId="0" fillId="0" borderId="0" xfId="60" applyFont="1" applyAlignment="1">
      <alignment horizontal="center"/>
      <protection/>
    </xf>
    <xf numFmtId="0" fontId="0" fillId="0" borderId="10" xfId="60" applyFont="1" applyBorder="1" applyAlignment="1">
      <alignment horizontal="center"/>
      <protection/>
    </xf>
    <xf numFmtId="0" fontId="3" fillId="0" borderId="10" xfId="60" applyFont="1" applyBorder="1" applyAlignment="1">
      <alignment horizontal="center"/>
      <protection/>
    </xf>
    <xf numFmtId="0" fontId="2" fillId="0" borderId="10" xfId="60" applyFont="1" applyBorder="1">
      <alignment/>
      <protection/>
    </xf>
    <xf numFmtId="0" fontId="0" fillId="0" borderId="10" xfId="60" applyFont="1" applyBorder="1">
      <alignment/>
      <protection/>
    </xf>
    <xf numFmtId="0" fontId="0" fillId="0" borderId="10" xfId="50" applyFont="1" applyFill="1" applyBorder="1" applyAlignment="1">
      <alignment horizontal="left"/>
      <protection/>
    </xf>
    <xf numFmtId="0" fontId="0" fillId="0" borderId="0" xfId="50" applyFont="1">
      <alignment/>
      <protection/>
    </xf>
    <xf numFmtId="0" fontId="2" fillId="0" borderId="0" xfId="60" applyFont="1">
      <alignment/>
      <protection/>
    </xf>
    <xf numFmtId="0" fontId="0" fillId="0" borderId="11" xfId="50" applyFont="1" applyFill="1" applyBorder="1" applyAlignment="1">
      <alignment/>
      <protection/>
    </xf>
    <xf numFmtId="0" fontId="4" fillId="0" borderId="10" xfId="50" applyFont="1" applyFill="1" applyBorder="1" applyAlignment="1">
      <alignment horizontal="center"/>
      <protection/>
    </xf>
    <xf numFmtId="0" fontId="0" fillId="0" borderId="15" xfId="50" applyFont="1" applyFill="1" applyBorder="1" applyAlignment="1">
      <alignment horizontal="center" vertical="center"/>
      <protection/>
    </xf>
    <xf numFmtId="0" fontId="0" fillId="0" borderId="15" xfId="50" applyFont="1" applyFill="1" applyBorder="1" applyAlignment="1">
      <alignment horizontal="center" vertical="center" wrapText="1"/>
      <protection/>
    </xf>
    <xf numFmtId="0" fontId="3" fillId="0" borderId="10" xfId="50" applyFont="1" applyFill="1" applyBorder="1" applyAlignment="1">
      <alignment horizontal="center" vertical="center"/>
      <protection/>
    </xf>
    <xf numFmtId="0" fontId="0" fillId="0" borderId="16" xfId="50" applyFont="1" applyFill="1" applyBorder="1" applyAlignment="1">
      <alignment horizontal="center" vertical="center"/>
      <protection/>
    </xf>
    <xf numFmtId="0" fontId="0" fillId="0" borderId="16" xfId="50" applyFont="1" applyFill="1" applyBorder="1" applyAlignment="1">
      <alignment horizontal="center" vertical="center" wrapText="1"/>
      <protection/>
    </xf>
    <xf numFmtId="0" fontId="3" fillId="0" borderId="17" xfId="50" applyFont="1" applyFill="1" applyBorder="1" applyAlignment="1">
      <alignment horizontal="center" vertical="center"/>
      <protection/>
    </xf>
    <xf numFmtId="0" fontId="3" fillId="0" borderId="11" xfId="50" applyFont="1" applyFill="1" applyBorder="1" applyAlignment="1">
      <alignment horizontal="center" vertical="center"/>
      <protection/>
    </xf>
    <xf numFmtId="0" fontId="0" fillId="0" borderId="10" xfId="50" applyFont="1" applyFill="1" applyBorder="1" applyAlignment="1">
      <alignment horizontal="center" vertical="center"/>
      <protection/>
    </xf>
    <xf numFmtId="0" fontId="0" fillId="0" borderId="10" xfId="50" applyFont="1" applyFill="1" applyBorder="1" applyAlignment="1">
      <alignment horizontal="center" vertical="center" wrapText="1"/>
      <protection/>
    </xf>
    <xf numFmtId="0" fontId="0" fillId="0" borderId="17" xfId="50" applyFont="1" applyFill="1" applyBorder="1" applyAlignment="1">
      <alignment horizontal="center" vertical="center"/>
      <protection/>
    </xf>
    <xf numFmtId="0" fontId="4" fillId="0" borderId="17" xfId="50" applyFont="1" applyFill="1" applyBorder="1" applyAlignment="1">
      <alignment horizontal="center"/>
      <protection/>
    </xf>
    <xf numFmtId="0" fontId="0" fillId="0" borderId="17" xfId="50" applyFont="1" applyFill="1" applyBorder="1" applyAlignment="1">
      <alignment horizontal="center"/>
      <protection/>
    </xf>
    <xf numFmtId="0" fontId="3" fillId="0" borderId="0" xfId="60" applyFont="1" applyAlignment="1">
      <alignment horizontal="center"/>
      <protection/>
    </xf>
    <xf numFmtId="0" fontId="3" fillId="0" borderId="17" xfId="50" applyFont="1" applyFill="1" applyBorder="1" applyAlignment="1">
      <alignment horizontal="center"/>
      <protection/>
    </xf>
    <xf numFmtId="179" fontId="3" fillId="0" borderId="10" xfId="50" applyNumberFormat="1" applyFont="1" applyFill="1" applyBorder="1" applyAlignment="1">
      <alignment horizontal="center"/>
      <protection/>
    </xf>
    <xf numFmtId="0" fontId="0" fillId="0" borderId="18" xfId="50" applyFont="1" applyFill="1" applyBorder="1" applyAlignment="1">
      <alignment horizontal="center"/>
      <protection/>
    </xf>
    <xf numFmtId="0" fontId="3" fillId="0" borderId="18" xfId="50" applyFont="1" applyFill="1" applyBorder="1" applyAlignment="1">
      <alignment horizontal="center"/>
      <protection/>
    </xf>
    <xf numFmtId="0" fontId="2" fillId="0" borderId="17" xfId="50" applyFont="1" applyFill="1" applyBorder="1" applyAlignment="1">
      <alignment horizontal="center"/>
      <protection/>
    </xf>
    <xf numFmtId="0" fontId="0" fillId="0" borderId="17" xfId="50" applyFont="1" applyFill="1" applyBorder="1" applyAlignment="1">
      <alignment horizontal="left"/>
      <protection/>
    </xf>
    <xf numFmtId="0" fontId="0" fillId="0" borderId="10" xfId="50" applyFont="1" applyFill="1" applyBorder="1" applyAlignment="1">
      <alignment vertical="center"/>
      <protection/>
    </xf>
    <xf numFmtId="0" fontId="0" fillId="0" borderId="11" xfId="50" applyFont="1" applyFill="1" applyBorder="1" applyAlignment="1">
      <alignment vertical="center"/>
      <protection/>
    </xf>
    <xf numFmtId="0" fontId="0" fillId="0" borderId="12" xfId="50" applyFont="1" applyFill="1" applyBorder="1" applyAlignment="1">
      <alignment vertical="center" wrapText="1"/>
      <protection/>
    </xf>
    <xf numFmtId="0" fontId="0" fillId="0" borderId="13" xfId="50" applyFont="1" applyBorder="1" applyAlignment="1">
      <alignment vertical="center"/>
      <protection/>
    </xf>
    <xf numFmtId="0" fontId="0" fillId="0" borderId="11" xfId="50" applyFont="1" applyFill="1" applyBorder="1" applyAlignment="1">
      <alignment vertical="center" wrapText="1"/>
      <protection/>
    </xf>
    <xf numFmtId="0" fontId="2" fillId="0" borderId="12" xfId="50" applyFont="1" applyFill="1" applyBorder="1">
      <alignment/>
      <protection/>
    </xf>
    <xf numFmtId="0" fontId="0" fillId="0" borderId="0" xfId="50" applyFont="1" applyAlignment="1">
      <alignment wrapText="1"/>
      <protection/>
    </xf>
    <xf numFmtId="0" fontId="0" fillId="0" borderId="19" xfId="50" applyFont="1" applyBorder="1" applyAlignment="1">
      <alignment wrapText="1"/>
      <protection/>
    </xf>
    <xf numFmtId="0" fontId="5" fillId="0" borderId="11" xfId="25" applyFont="1" applyFill="1" applyBorder="1" applyAlignment="1" applyProtection="1">
      <alignment/>
      <protection/>
    </xf>
    <xf numFmtId="0" fontId="3" fillId="0" borderId="10" xfId="50" applyFont="1" applyFill="1" applyBorder="1" applyAlignment="1">
      <alignment horizontal="left"/>
      <protection/>
    </xf>
    <xf numFmtId="0" fontId="0" fillId="0" borderId="16" xfId="50" applyFont="1" applyFill="1" applyBorder="1" applyAlignment="1">
      <alignment horizontal="center"/>
      <protection/>
    </xf>
    <xf numFmtId="0" fontId="0" fillId="0" borderId="17" xfId="0" applyFont="1" applyFill="1" applyBorder="1" applyAlignment="1">
      <alignment horizontal="center"/>
    </xf>
    <xf numFmtId="179" fontId="0" fillId="0" borderId="10" xfId="0" applyNumberFormat="1" applyFont="1" applyFill="1" applyBorder="1" applyAlignment="1">
      <alignment horizontal="center"/>
    </xf>
    <xf numFmtId="179" fontId="0" fillId="0" borderId="0" xfId="60" applyNumberFormat="1" applyFont="1" applyAlignment="1">
      <alignment horizontal="center"/>
      <protection/>
    </xf>
    <xf numFmtId="0" fontId="0" fillId="0" borderId="12" xfId="50" applyFont="1" applyFill="1" applyBorder="1">
      <alignment/>
      <protection/>
    </xf>
    <xf numFmtId="0" fontId="0" fillId="0" borderId="14" xfId="50" applyFont="1" applyBorder="1" applyAlignment="1">
      <alignment vertical="center"/>
      <protection/>
    </xf>
    <xf numFmtId="0" fontId="0" fillId="0" borderId="15" xfId="50" applyFont="1" applyFill="1" applyBorder="1">
      <alignment/>
      <protection/>
    </xf>
    <xf numFmtId="0" fontId="0" fillId="0" borderId="16" xfId="50" applyFont="1" applyFill="1" applyBorder="1">
      <alignment/>
      <protection/>
    </xf>
    <xf numFmtId="0" fontId="0" fillId="0" borderId="13" xfId="50" applyFont="1" applyFill="1" applyBorder="1">
      <alignment/>
      <protection/>
    </xf>
    <xf numFmtId="0" fontId="0" fillId="0" borderId="16" xfId="50" applyFont="1" applyBorder="1" applyAlignment="1">
      <alignment horizontal="center" vertical="center"/>
      <protection/>
    </xf>
    <xf numFmtId="0" fontId="0" fillId="0" borderId="0" xfId="20" applyNumberFormat="1" applyFont="1">
      <alignment vertical="center"/>
      <protection/>
    </xf>
    <xf numFmtId="0" fontId="2" fillId="0" borderId="10" xfId="20" applyFont="1" applyBorder="1" applyAlignment="1">
      <alignment vertical="center"/>
      <protection/>
    </xf>
    <xf numFmtId="0" fontId="0" fillId="0" borderId="10" xfId="0" applyBorder="1" applyAlignment="1">
      <alignment vertical="center"/>
    </xf>
    <xf numFmtId="0" fontId="0" fillId="0" borderId="10" xfId="20" applyFont="1" applyBorder="1">
      <alignment vertical="center"/>
      <protection/>
    </xf>
    <xf numFmtId="0" fontId="0" fillId="0" borderId="11" xfId="20" applyFont="1" applyBorder="1">
      <alignment vertical="center"/>
      <protection/>
    </xf>
    <xf numFmtId="0" fontId="0" fillId="0" borderId="11" xfId="20" applyFont="1" applyBorder="1" applyAlignment="1">
      <alignment vertical="center"/>
      <protection/>
    </xf>
    <xf numFmtId="0" fontId="0" fillId="0" borderId="17" xfId="20" applyFont="1" applyBorder="1" applyAlignment="1">
      <alignment vertical="center"/>
      <protection/>
    </xf>
    <xf numFmtId="0" fontId="0" fillId="0" borderId="10" xfId="20" applyFont="1" applyBorder="1" applyAlignment="1">
      <alignment vertical="center"/>
      <protection/>
    </xf>
    <xf numFmtId="0" fontId="2" fillId="0" borderId="11" xfId="50" applyFont="1" applyFill="1" applyBorder="1" applyAlignment="1">
      <alignment/>
      <protection/>
    </xf>
    <xf numFmtId="0" fontId="0" fillId="0" borderId="11" xfId="20" applyFont="1" applyBorder="1" applyAlignment="1">
      <alignment horizontal="left" vertical="center"/>
      <protection/>
    </xf>
    <xf numFmtId="0" fontId="0" fillId="0" borderId="17" xfId="0" applyBorder="1" applyAlignment="1">
      <alignment horizontal="left" vertical="center"/>
    </xf>
    <xf numFmtId="0" fontId="0" fillId="0" borderId="0" xfId="68" applyFont="1">
      <alignment/>
      <protection/>
    </xf>
    <xf numFmtId="0" fontId="0" fillId="0" borderId="0" xfId="68">
      <alignment/>
      <protection/>
    </xf>
    <xf numFmtId="0" fontId="2" fillId="0" borderId="0" xfId="68" applyFont="1">
      <alignment/>
      <protection/>
    </xf>
    <xf numFmtId="0" fontId="0" fillId="0" borderId="0" xfId="68" applyFont="1" applyAlignment="1">
      <alignment horizontal="center"/>
      <protection/>
    </xf>
    <xf numFmtId="0" fontId="2" fillId="0" borderId="0" xfId="68" applyFont="1" applyAlignment="1">
      <alignment horizontal="center"/>
      <protection/>
    </xf>
    <xf numFmtId="179" fontId="0" fillId="0" borderId="0" xfId="68" applyNumberFormat="1" applyFont="1" applyAlignment="1">
      <alignment horizontal="center"/>
      <protection/>
    </xf>
    <xf numFmtId="0" fontId="74" fillId="0" borderId="0" xfId="68" applyFont="1">
      <alignment/>
      <protection/>
    </xf>
    <xf numFmtId="0" fontId="6" fillId="0" borderId="0" xfId="68" applyFont="1">
      <alignment/>
      <protection/>
    </xf>
    <xf numFmtId="0" fontId="4" fillId="0" borderId="0" xfId="68" applyFont="1">
      <alignment/>
      <protection/>
    </xf>
    <xf numFmtId="0" fontId="3" fillId="0" borderId="0" xfId="68" applyFont="1">
      <alignment/>
      <protection/>
    </xf>
    <xf numFmtId="180" fontId="3" fillId="0" borderId="0" xfId="68" applyNumberFormat="1" applyFont="1">
      <alignment/>
      <protection/>
    </xf>
    <xf numFmtId="0" fontId="2" fillId="0" borderId="11" xfId="24" applyFont="1" applyBorder="1" applyAlignment="1">
      <alignment wrapText="1"/>
      <protection/>
    </xf>
    <xf numFmtId="0" fontId="7" fillId="0" borderId="17" xfId="24" applyFont="1" applyBorder="1" applyAlignment="1">
      <alignment/>
      <protection/>
    </xf>
    <xf numFmtId="0" fontId="0" fillId="0" borderId="17" xfId="24" applyFont="1" applyBorder="1" applyAlignment="1">
      <alignment horizontal="center" wrapText="1"/>
      <protection/>
    </xf>
    <xf numFmtId="0" fontId="0" fillId="0" borderId="10" xfId="24" applyFont="1" applyBorder="1" applyAlignment="1">
      <alignment horizontal="center" wrapText="1"/>
      <protection/>
    </xf>
    <xf numFmtId="0" fontId="0" fillId="0" borderId="11" xfId="24" applyFont="1" applyBorder="1" applyAlignment="1">
      <alignment horizontal="center" wrapText="1"/>
      <protection/>
    </xf>
    <xf numFmtId="0" fontId="0" fillId="0" borderId="11" xfId="24" applyFont="1" applyBorder="1" applyAlignment="1">
      <alignment/>
      <protection/>
    </xf>
    <xf numFmtId="0" fontId="0" fillId="0" borderId="17" xfId="68" applyFont="1" applyBorder="1">
      <alignment/>
      <protection/>
    </xf>
    <xf numFmtId="179" fontId="0" fillId="0" borderId="10" xfId="24" applyNumberFormat="1" applyFont="1" applyBorder="1" applyAlignment="1">
      <alignment horizontal="center" wrapText="1"/>
      <protection/>
    </xf>
    <xf numFmtId="0" fontId="0" fillId="0" borderId="13" xfId="24" applyFont="1" applyBorder="1" applyAlignment="1">
      <alignment/>
      <protection/>
    </xf>
    <xf numFmtId="0" fontId="0" fillId="0" borderId="20" xfId="68" applyFont="1" applyBorder="1">
      <alignment/>
      <protection/>
    </xf>
    <xf numFmtId="180" fontId="0" fillId="0" borderId="10" xfId="24" applyNumberFormat="1" applyFont="1" applyBorder="1" applyAlignment="1">
      <alignment horizontal="center" wrapText="1"/>
      <protection/>
    </xf>
    <xf numFmtId="0" fontId="0" fillId="0" borderId="0" xfId="68" applyFont="1" applyAlignment="1">
      <alignment horizontal="right"/>
      <protection/>
    </xf>
    <xf numFmtId="0" fontId="0" fillId="0" borderId="0" xfId="68" applyAlignment="1">
      <alignment horizontal="center"/>
      <protection/>
    </xf>
    <xf numFmtId="0" fontId="0" fillId="0" borderId="0" xfId="68" applyBorder="1" applyAlignment="1">
      <alignment/>
      <protection/>
    </xf>
    <xf numFmtId="179" fontId="0" fillId="0" borderId="0" xfId="68" applyNumberFormat="1" applyAlignment="1">
      <alignment horizontal="center"/>
      <protection/>
    </xf>
    <xf numFmtId="0" fontId="1" fillId="0" borderId="17" xfId="24" applyBorder="1" applyAlignment="1">
      <alignment horizontal="center" wrapText="1"/>
      <protection/>
    </xf>
    <xf numFmtId="179" fontId="0" fillId="0" borderId="0" xfId="68" applyNumberFormat="1">
      <alignment/>
      <protection/>
    </xf>
    <xf numFmtId="0" fontId="8" fillId="0" borderId="0" xfId="18" applyFont="1" applyFill="1">
      <alignment/>
      <protection/>
    </xf>
    <xf numFmtId="0" fontId="9" fillId="0" borderId="0" xfId="18" applyFill="1">
      <alignment/>
      <protection/>
    </xf>
    <xf numFmtId="0" fontId="9" fillId="0" borderId="0" xfId="18" applyFill="1" applyBorder="1">
      <alignment/>
      <protection/>
    </xf>
    <xf numFmtId="0" fontId="9" fillId="0" borderId="0" xfId="18">
      <alignment/>
      <protection/>
    </xf>
    <xf numFmtId="0" fontId="9" fillId="0" borderId="0" xfId="18" applyFont="1" applyFill="1">
      <alignment/>
      <protection/>
    </xf>
    <xf numFmtId="0" fontId="10" fillId="0" borderId="0" xfId="18" applyFont="1" applyFill="1" applyBorder="1" applyProtection="1">
      <alignment/>
      <protection locked="0"/>
    </xf>
    <xf numFmtId="0" fontId="11" fillId="0" borderId="0" xfId="18" applyFont="1" applyFill="1">
      <alignment/>
      <protection/>
    </xf>
    <xf numFmtId="0" fontId="9" fillId="0" borderId="0" xfId="18" applyFont="1" applyFill="1" applyBorder="1">
      <alignment/>
      <protection/>
    </xf>
    <xf numFmtId="0" fontId="9" fillId="0" borderId="0" xfId="18" applyFont="1">
      <alignment/>
      <protection/>
    </xf>
    <xf numFmtId="0" fontId="9" fillId="0" borderId="10" xfId="18" applyFont="1" applyFill="1" applyBorder="1" applyAlignment="1" applyProtection="1">
      <alignment horizontal="center"/>
      <protection locked="0"/>
    </xf>
    <xf numFmtId="0" fontId="9" fillId="0" borderId="10" xfId="18" applyFont="1" applyFill="1" applyBorder="1" applyAlignment="1">
      <alignment horizontal="center"/>
      <protection/>
    </xf>
    <xf numFmtId="0" fontId="9" fillId="0" borderId="10" xfId="18" applyFont="1" applyFill="1" applyBorder="1" applyProtection="1">
      <alignment/>
      <protection locked="0"/>
    </xf>
    <xf numFmtId="0" fontId="9" fillId="0" borderId="11" xfId="18" applyFont="1" applyFill="1" applyBorder="1" applyProtection="1">
      <alignment/>
      <protection locked="0"/>
    </xf>
    <xf numFmtId="0" fontId="9" fillId="33" borderId="10" xfId="18" applyFont="1" applyFill="1" applyBorder="1" applyAlignment="1" applyProtection="1">
      <alignment horizontal="center"/>
      <protection locked="0"/>
    </xf>
    <xf numFmtId="0" fontId="9" fillId="33" borderId="10" xfId="18" applyNumberFormat="1" applyFont="1" applyFill="1" applyBorder="1" applyAlignment="1" applyProtection="1">
      <alignment horizontal="center"/>
      <protection locked="0"/>
    </xf>
    <xf numFmtId="181" fontId="9" fillId="0" borderId="10" xfId="18" applyNumberFormat="1" applyFont="1" applyFill="1" applyBorder="1" applyAlignment="1">
      <alignment horizontal="center"/>
      <protection/>
    </xf>
    <xf numFmtId="182" fontId="9" fillId="0" borderId="10" xfId="18" applyNumberFormat="1" applyFont="1" applyFill="1" applyBorder="1" applyAlignment="1">
      <alignment horizontal="center"/>
      <protection/>
    </xf>
    <xf numFmtId="0" fontId="11" fillId="0" borderId="10" xfId="18" applyFont="1" applyFill="1" applyBorder="1" applyProtection="1">
      <alignment/>
      <protection locked="0"/>
    </xf>
    <xf numFmtId="0" fontId="11" fillId="0" borderId="11" xfId="18" applyFont="1" applyFill="1" applyBorder="1" applyProtection="1">
      <alignment/>
      <protection locked="0"/>
    </xf>
    <xf numFmtId="0" fontId="11" fillId="0" borderId="10" xfId="18" applyFont="1" applyFill="1" applyBorder="1" applyAlignment="1" applyProtection="1">
      <alignment horizontal="center"/>
      <protection/>
    </xf>
    <xf numFmtId="181" fontId="11" fillId="0" borderId="10" xfId="18" applyNumberFormat="1" applyFont="1" applyFill="1" applyBorder="1" applyAlignment="1" applyProtection="1">
      <alignment horizontal="center"/>
      <protection/>
    </xf>
    <xf numFmtId="181" fontId="12" fillId="34" borderId="10" xfId="18" applyNumberFormat="1" applyFont="1" applyFill="1" applyBorder="1" applyAlignment="1" applyProtection="1">
      <alignment horizontal="center"/>
      <protection/>
    </xf>
    <xf numFmtId="181" fontId="11" fillId="0" borderId="10" xfId="18" applyNumberFormat="1" applyFont="1" applyFill="1" applyBorder="1" applyAlignment="1">
      <alignment horizontal="center"/>
      <protection/>
    </xf>
    <xf numFmtId="0" fontId="9" fillId="0" borderId="10" xfId="18" applyFont="1" applyFill="1" applyBorder="1" applyAlignment="1" applyProtection="1">
      <alignment horizontal="center"/>
      <protection/>
    </xf>
    <xf numFmtId="181" fontId="9" fillId="0" borderId="10" xfId="18" applyNumberFormat="1" applyFont="1" applyFill="1" applyBorder="1" applyAlignment="1" applyProtection="1">
      <alignment horizontal="center"/>
      <protection/>
    </xf>
    <xf numFmtId="181" fontId="9" fillId="34" borderId="10" xfId="18" applyNumberFormat="1" applyFont="1" applyFill="1" applyBorder="1" applyAlignment="1" applyProtection="1">
      <alignment horizontal="center"/>
      <protection/>
    </xf>
    <xf numFmtId="182" fontId="9" fillId="0" borderId="10" xfId="18" applyNumberFormat="1" applyFont="1" applyFill="1" applyBorder="1" applyAlignment="1" applyProtection="1">
      <alignment horizontal="center"/>
      <protection/>
    </xf>
    <xf numFmtId="0" fontId="12" fillId="0" borderId="0" xfId="18" applyFont="1">
      <alignment/>
      <protection/>
    </xf>
    <xf numFmtId="0" fontId="12" fillId="0" borderId="0" xfId="18" applyFont="1" applyFill="1" applyBorder="1" applyAlignment="1">
      <alignment horizontal="right"/>
      <protection/>
    </xf>
    <xf numFmtId="0" fontId="12" fillId="33" borderId="10" xfId="18" applyFont="1" applyFill="1" applyBorder="1" applyProtection="1">
      <alignment/>
      <protection locked="0"/>
    </xf>
    <xf numFmtId="0" fontId="11" fillId="0" borderId="0" xfId="18" applyFont="1" applyFill="1" applyBorder="1">
      <alignment/>
      <protection/>
    </xf>
    <xf numFmtId="180" fontId="11" fillId="0" borderId="0" xfId="18" applyNumberFormat="1" applyFont="1" applyFill="1" applyBorder="1">
      <alignment/>
      <protection/>
    </xf>
    <xf numFmtId="0" fontId="10" fillId="0" borderId="0" xfId="18" applyFont="1" applyFill="1">
      <alignment/>
      <protection/>
    </xf>
    <xf numFmtId="0" fontId="9" fillId="34" borderId="12" xfId="0" applyNumberFormat="1" applyFont="1" applyFill="1" applyBorder="1" applyAlignment="1" applyProtection="1">
      <alignment vertical="center"/>
      <protection locked="0"/>
    </xf>
    <xf numFmtId="0" fontId="2" fillId="0" borderId="0" xfId="0" applyFont="1" applyAlignment="1">
      <alignment/>
    </xf>
    <xf numFmtId="0" fontId="9" fillId="34" borderId="13" xfId="0" applyNumberFormat="1" applyFont="1" applyFill="1" applyBorder="1" applyAlignment="1" applyProtection="1">
      <alignment vertical="center"/>
      <protection locked="0"/>
    </xf>
    <xf numFmtId="0" fontId="9" fillId="35" borderId="15" xfId="18" applyFont="1" applyFill="1" applyBorder="1">
      <alignment/>
      <protection/>
    </xf>
    <xf numFmtId="0" fontId="9" fillId="35" borderId="11" xfId="18" applyFont="1" applyFill="1" applyBorder="1" applyAlignment="1">
      <alignment horizontal="left"/>
      <protection/>
    </xf>
    <xf numFmtId="0" fontId="9" fillId="35" borderId="17" xfId="18" applyFont="1" applyFill="1" applyBorder="1" applyAlignment="1">
      <alignment horizontal="left"/>
      <protection/>
    </xf>
    <xf numFmtId="0" fontId="10" fillId="35" borderId="17" xfId="18" applyFont="1" applyFill="1" applyBorder="1" applyAlignment="1">
      <alignment horizontal="left"/>
      <protection/>
    </xf>
    <xf numFmtId="0" fontId="9" fillId="34" borderId="14" xfId="0" applyNumberFormat="1" applyFont="1" applyFill="1" applyBorder="1" applyAlignment="1" applyProtection="1">
      <alignment vertical="center"/>
      <protection locked="0"/>
    </xf>
    <xf numFmtId="0" fontId="9" fillId="35" borderId="21" xfId="18" applyFont="1" applyFill="1" applyBorder="1" applyAlignment="1">
      <alignment horizontal="center"/>
      <protection/>
    </xf>
    <xf numFmtId="0" fontId="9" fillId="35" borderId="14" xfId="18" applyFont="1" applyFill="1" applyBorder="1" applyAlignment="1">
      <alignment horizontal="center"/>
      <protection/>
    </xf>
    <xf numFmtId="0" fontId="9" fillId="35" borderId="22" xfId="18" applyFont="1" applyFill="1" applyBorder="1" applyAlignment="1">
      <alignment horizontal="center"/>
      <protection/>
    </xf>
    <xf numFmtId="0" fontId="9" fillId="34" borderId="13" xfId="0" applyNumberFormat="1" applyFont="1" applyFill="1" applyBorder="1" applyAlignment="1" applyProtection="1">
      <alignment vertical="center"/>
      <protection/>
    </xf>
    <xf numFmtId="0" fontId="13" fillId="35" borderId="21" xfId="18" applyFont="1" applyFill="1" applyBorder="1" applyAlignment="1">
      <alignment horizontal="center"/>
      <protection/>
    </xf>
    <xf numFmtId="0" fontId="13" fillId="35" borderId="14" xfId="18" applyFont="1" applyFill="1" applyBorder="1" applyAlignment="1">
      <alignment horizontal="center"/>
      <protection/>
    </xf>
    <xf numFmtId="0" fontId="13" fillId="35" borderId="22" xfId="18" applyFont="1" applyFill="1" applyBorder="1" applyAlignment="1">
      <alignment horizontal="center"/>
      <protection/>
    </xf>
    <xf numFmtId="0" fontId="13" fillId="35" borderId="13" xfId="18" applyFont="1" applyFill="1" applyBorder="1" applyAlignment="1">
      <alignment horizontal="center"/>
      <protection/>
    </xf>
    <xf numFmtId="0" fontId="9" fillId="35" borderId="13" xfId="18" applyFont="1" applyFill="1" applyBorder="1" applyAlignment="1">
      <alignment horizontal="center"/>
      <protection/>
    </xf>
    <xf numFmtId="0" fontId="9" fillId="35" borderId="20" xfId="18" applyFont="1" applyFill="1" applyBorder="1" applyAlignment="1">
      <alignment horizontal="center"/>
      <protection/>
    </xf>
    <xf numFmtId="183" fontId="9" fillId="35" borderId="21" xfId="18" applyNumberFormat="1" applyFill="1" applyBorder="1" applyAlignment="1">
      <alignment horizontal="center"/>
      <protection/>
    </xf>
    <xf numFmtId="182" fontId="9" fillId="35" borderId="14" xfId="18" applyNumberFormat="1" applyFont="1" applyFill="1" applyBorder="1" applyAlignment="1">
      <alignment horizontal="center"/>
      <protection/>
    </xf>
    <xf numFmtId="179" fontId="9" fillId="35" borderId="22" xfId="18" applyNumberFormat="1" applyFill="1" applyBorder="1" applyAlignment="1">
      <alignment horizontal="center"/>
      <protection/>
    </xf>
    <xf numFmtId="0" fontId="9" fillId="0" borderId="0" xfId="18" applyFont="1" applyFill="1" applyAlignment="1">
      <alignment horizontal="center"/>
      <protection/>
    </xf>
    <xf numFmtId="0" fontId="9" fillId="0" borderId="17" xfId="18" applyFont="1" applyFill="1" applyBorder="1">
      <alignment/>
      <protection/>
    </xf>
    <xf numFmtId="0" fontId="9" fillId="0" borderId="12" xfId="18" applyFont="1" applyFill="1" applyBorder="1">
      <alignment/>
      <protection/>
    </xf>
    <xf numFmtId="0" fontId="9" fillId="0" borderId="23" xfId="18" applyFill="1" applyBorder="1">
      <alignment/>
      <protection/>
    </xf>
    <xf numFmtId="0" fontId="9" fillId="0" borderId="24" xfId="18" applyFill="1" applyBorder="1">
      <alignment/>
      <protection/>
    </xf>
    <xf numFmtId="182" fontId="9" fillId="0" borderId="16" xfId="18" applyNumberFormat="1" applyFont="1" applyFill="1" applyBorder="1" applyAlignment="1">
      <alignment horizontal="center"/>
      <protection/>
    </xf>
    <xf numFmtId="0" fontId="14" fillId="0" borderId="10" xfId="18" applyFont="1" applyFill="1" applyBorder="1" applyAlignment="1">
      <alignment horizontal="center"/>
      <protection/>
    </xf>
    <xf numFmtId="0" fontId="14" fillId="0" borderId="11" xfId="18" applyFont="1" applyFill="1" applyBorder="1" applyAlignment="1">
      <alignment horizontal="center"/>
      <protection/>
    </xf>
    <xf numFmtId="0" fontId="14" fillId="0" borderId="18" xfId="18" applyFont="1" applyFill="1" applyBorder="1" applyAlignment="1">
      <alignment horizontal="center"/>
      <protection/>
    </xf>
    <xf numFmtId="0" fontId="14" fillId="0" borderId="17" xfId="18" applyFont="1" applyFill="1" applyBorder="1" applyAlignment="1">
      <alignment horizontal="center"/>
      <protection/>
    </xf>
    <xf numFmtId="182" fontId="11" fillId="0" borderId="16" xfId="18" applyNumberFormat="1" applyFont="1" applyFill="1" applyBorder="1" applyAlignment="1">
      <alignment horizontal="center"/>
      <protection/>
    </xf>
    <xf numFmtId="0" fontId="11" fillId="0" borderId="10" xfId="18" applyFont="1" applyFill="1" applyBorder="1" applyAlignment="1">
      <alignment horizontal="center"/>
      <protection/>
    </xf>
    <xf numFmtId="0" fontId="11" fillId="0" borderId="13" xfId="18" applyFont="1" applyFill="1" applyBorder="1">
      <alignment/>
      <protection/>
    </xf>
    <xf numFmtId="0" fontId="11" fillId="0" borderId="19" xfId="18" applyFont="1" applyFill="1" applyBorder="1">
      <alignment/>
      <protection/>
    </xf>
    <xf numFmtId="0" fontId="11" fillId="0" borderId="20" xfId="18" applyFont="1" applyFill="1" applyBorder="1">
      <alignment/>
      <protection/>
    </xf>
    <xf numFmtId="0" fontId="9" fillId="0" borderId="11" xfId="18" applyFont="1" applyFill="1" applyBorder="1">
      <alignment/>
      <protection/>
    </xf>
    <xf numFmtId="0" fontId="9" fillId="0" borderId="18" xfId="18" applyFill="1" applyBorder="1">
      <alignment/>
      <protection/>
    </xf>
    <xf numFmtId="0" fontId="9" fillId="0" borderId="17" xfId="18" applyFill="1" applyBorder="1">
      <alignment/>
      <protection/>
    </xf>
    <xf numFmtId="0" fontId="11" fillId="0" borderId="17" xfId="18" applyFont="1" applyFill="1" applyBorder="1" applyAlignment="1">
      <alignment horizontal="center"/>
      <protection/>
    </xf>
    <xf numFmtId="0" fontId="9" fillId="0" borderId="13" xfId="18" applyFont="1" applyFill="1" applyBorder="1">
      <alignment/>
      <protection/>
    </xf>
    <xf numFmtId="0" fontId="9" fillId="0" borderId="19" xfId="18" applyFill="1" applyBorder="1">
      <alignment/>
      <protection/>
    </xf>
    <xf numFmtId="0" fontId="9" fillId="0" borderId="20" xfId="18" applyFill="1" applyBorder="1">
      <alignment/>
      <protection/>
    </xf>
    <xf numFmtId="0" fontId="11" fillId="0" borderId="19" xfId="18" applyFont="1" applyBorder="1">
      <alignment/>
      <protection/>
    </xf>
    <xf numFmtId="0" fontId="14" fillId="0" borderId="0" xfId="18" applyFont="1" applyFill="1" applyBorder="1" applyAlignment="1">
      <alignment horizontal="center"/>
      <protection/>
    </xf>
    <xf numFmtId="0" fontId="9" fillId="34" borderId="0" xfId="18" applyFont="1" applyFill="1">
      <alignment/>
      <protection/>
    </xf>
    <xf numFmtId="0" fontId="15" fillId="34" borderId="15" xfId="0" applyFont="1" applyFill="1" applyBorder="1" applyAlignment="1" applyProtection="1">
      <alignment horizontal="right" vertical="center"/>
      <protection/>
    </xf>
    <xf numFmtId="0" fontId="16" fillId="0" borderId="0" xfId="18" applyFont="1" applyFill="1">
      <alignment/>
      <protection/>
    </xf>
    <xf numFmtId="0" fontId="9" fillId="34" borderId="20" xfId="18" applyFont="1" applyFill="1" applyBorder="1">
      <alignment/>
      <protection/>
    </xf>
    <xf numFmtId="0" fontId="15" fillId="34" borderId="16" xfId="0" applyFont="1" applyFill="1" applyBorder="1" applyAlignment="1" applyProtection="1">
      <alignment horizontal="right" vertical="center"/>
      <protection/>
    </xf>
    <xf numFmtId="0" fontId="9" fillId="34" borderId="21" xfId="0" applyFont="1" applyFill="1" applyBorder="1" applyAlignment="1" applyProtection="1">
      <alignment horizontal="right" vertical="center"/>
      <protection/>
    </xf>
    <xf numFmtId="0" fontId="9" fillId="34" borderId="16" xfId="0" applyFont="1" applyFill="1" applyBorder="1" applyAlignment="1" applyProtection="1">
      <alignment horizontal="right" vertical="center"/>
      <protection/>
    </xf>
    <xf numFmtId="0" fontId="9" fillId="0" borderId="0" xfId="0" applyFont="1" applyAlignment="1">
      <alignment/>
    </xf>
    <xf numFmtId="0" fontId="0" fillId="0" borderId="0" xfId="0" applyFont="1" applyFill="1" applyAlignment="1">
      <alignment/>
    </xf>
    <xf numFmtId="0" fontId="9" fillId="35" borderId="15" xfId="18" applyFill="1" applyBorder="1">
      <alignment/>
      <protection/>
    </xf>
    <xf numFmtId="0" fontId="9" fillId="0" borderId="12" xfId="18" applyFont="1" applyBorder="1" applyAlignment="1">
      <alignment horizontal="left"/>
      <protection/>
    </xf>
    <xf numFmtId="0" fontId="9" fillId="0" borderId="24" xfId="18" applyBorder="1" applyAlignment="1">
      <alignment horizontal="left"/>
      <protection/>
    </xf>
    <xf numFmtId="0" fontId="10" fillId="0" borderId="24" xfId="18" applyFont="1" applyBorder="1" applyAlignment="1">
      <alignment horizontal="left"/>
      <protection/>
    </xf>
    <xf numFmtId="0" fontId="9" fillId="35" borderId="12" xfId="18" applyFont="1" applyFill="1" applyBorder="1" applyAlignment="1">
      <alignment horizontal="left"/>
      <protection/>
    </xf>
    <xf numFmtId="0" fontId="9" fillId="35" borderId="24" xfId="18" applyFill="1" applyBorder="1" applyAlignment="1">
      <alignment horizontal="left"/>
      <protection/>
    </xf>
    <xf numFmtId="0" fontId="9" fillId="35" borderId="21" xfId="18" applyFill="1" applyBorder="1" applyAlignment="1">
      <alignment horizontal="center"/>
      <protection/>
    </xf>
    <xf numFmtId="0" fontId="9" fillId="35" borderId="14" xfId="18" applyFill="1" applyBorder="1" applyAlignment="1">
      <alignment horizontal="center"/>
      <protection/>
    </xf>
    <xf numFmtId="0" fontId="13" fillId="35" borderId="16" xfId="18" applyFont="1" applyFill="1" applyBorder="1" applyAlignment="1">
      <alignment horizontal="center"/>
      <protection/>
    </xf>
    <xf numFmtId="0" fontId="13" fillId="35" borderId="20" xfId="18" applyFont="1" applyFill="1" applyBorder="1" applyAlignment="1">
      <alignment horizontal="center"/>
      <protection/>
    </xf>
    <xf numFmtId="0" fontId="13" fillId="35" borderId="0" xfId="18" applyFont="1" applyFill="1" applyBorder="1" applyAlignment="1">
      <alignment horizontal="center"/>
      <protection/>
    </xf>
    <xf numFmtId="0" fontId="17" fillId="0" borderId="0" xfId="0" applyFont="1" applyAlignment="1">
      <alignment/>
    </xf>
    <xf numFmtId="0" fontId="17" fillId="0" borderId="0" xfId="0" applyFont="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0" fillId="0" borderId="0" xfId="0" applyFont="1" applyAlignment="1">
      <alignment/>
    </xf>
    <xf numFmtId="0" fontId="2" fillId="0" borderId="0" xfId="0" applyFont="1" applyAlignment="1">
      <alignment horizontal="left"/>
    </xf>
    <xf numFmtId="0" fontId="2"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180" fontId="9" fillId="0" borderId="0" xfId="0" applyNumberFormat="1" applyFont="1" applyAlignment="1">
      <alignment/>
    </xf>
    <xf numFmtId="0" fontId="9" fillId="0" borderId="0" xfId="0" applyFont="1" applyBorder="1" applyAlignment="1">
      <alignment/>
    </xf>
    <xf numFmtId="0" fontId="9" fillId="0" borderId="14" xfId="0" applyFont="1" applyBorder="1" applyAlignment="1">
      <alignment horizontal="left"/>
    </xf>
    <xf numFmtId="0" fontId="9" fillId="0" borderId="0" xfId="0" applyFont="1" applyBorder="1" applyAlignment="1">
      <alignment horizontal="left"/>
    </xf>
    <xf numFmtId="0" fontId="10" fillId="33" borderId="10" xfId="0" applyFont="1" applyFill="1" applyBorder="1" applyAlignment="1" applyProtection="1">
      <alignment/>
      <protection locked="0"/>
    </xf>
    <xf numFmtId="0" fontId="10" fillId="33" borderId="16" xfId="0" applyFont="1" applyFill="1" applyBorder="1" applyAlignment="1" applyProtection="1">
      <alignment/>
      <protection locked="0"/>
    </xf>
    <xf numFmtId="0" fontId="10" fillId="33" borderId="15" xfId="0" applyFont="1" applyFill="1" applyBorder="1" applyAlignment="1" applyProtection="1">
      <alignment/>
      <protection locked="0"/>
    </xf>
    <xf numFmtId="0" fontId="9" fillId="0" borderId="19" xfId="0" applyFont="1" applyBorder="1" applyAlignment="1">
      <alignment/>
    </xf>
    <xf numFmtId="179" fontId="9" fillId="0" borderId="10" xfId="18" applyNumberFormat="1" applyFont="1" applyFill="1" applyBorder="1" applyAlignment="1">
      <alignment horizontal="center"/>
      <protection/>
    </xf>
    <xf numFmtId="0" fontId="9" fillId="0" borderId="16" xfId="0" applyFont="1" applyBorder="1" applyAlignment="1">
      <alignment/>
    </xf>
    <xf numFmtId="180" fontId="9" fillId="36" borderId="10" xfId="18" applyNumberFormat="1" applyFont="1" applyFill="1" applyBorder="1" applyAlignment="1">
      <alignment horizontal="center"/>
      <protection/>
    </xf>
    <xf numFmtId="178" fontId="9" fillId="0" borderId="12" xfId="0" applyNumberFormat="1" applyFont="1" applyFill="1" applyBorder="1" applyAlignment="1">
      <alignment horizontal="left"/>
    </xf>
    <xf numFmtId="178" fontId="9" fillId="0" borderId="0" xfId="0" applyNumberFormat="1" applyFont="1" applyAlignment="1">
      <alignment horizontal="right"/>
    </xf>
    <xf numFmtId="178" fontId="10" fillId="0" borderId="0" xfId="0" applyNumberFormat="1" applyFont="1" applyFill="1" applyBorder="1" applyAlignment="1">
      <alignment/>
    </xf>
    <xf numFmtId="178" fontId="9" fillId="0" borderId="0" xfId="0" applyNumberFormat="1" applyFont="1" applyAlignment="1">
      <alignment/>
    </xf>
    <xf numFmtId="178" fontId="9" fillId="0" borderId="0" xfId="0" applyNumberFormat="1" applyFont="1" applyAlignment="1">
      <alignment horizontal="center"/>
    </xf>
    <xf numFmtId="184" fontId="10" fillId="0" borderId="0" xfId="0" applyNumberFormat="1" applyFont="1" applyAlignment="1">
      <alignment/>
    </xf>
    <xf numFmtId="178" fontId="9" fillId="36" borderId="12" xfId="0" applyNumberFormat="1" applyFont="1" applyFill="1" applyBorder="1" applyAlignment="1">
      <alignment horizontal="left"/>
    </xf>
    <xf numFmtId="0" fontId="0" fillId="36" borderId="0" xfId="0" applyFont="1" applyFill="1" applyAlignment="1">
      <alignment/>
    </xf>
    <xf numFmtId="178" fontId="9" fillId="0" borderId="13" xfId="0" applyNumberFormat="1" applyFont="1" applyFill="1" applyBorder="1" applyAlignment="1">
      <alignment horizontal="left"/>
    </xf>
    <xf numFmtId="178" fontId="9" fillId="0" borderId="19" xfId="0" applyNumberFormat="1" applyFont="1" applyBorder="1" applyAlignment="1">
      <alignment horizontal="right"/>
    </xf>
    <xf numFmtId="178" fontId="10" fillId="0" borderId="19" xfId="0" applyNumberFormat="1" applyFont="1" applyFill="1" applyBorder="1" applyAlignment="1">
      <alignment/>
    </xf>
    <xf numFmtId="178" fontId="9" fillId="0" borderId="19" xfId="0" applyNumberFormat="1" applyFont="1" applyBorder="1" applyAlignment="1">
      <alignment/>
    </xf>
    <xf numFmtId="178" fontId="9" fillId="36" borderId="13" xfId="0" applyNumberFormat="1" applyFont="1" applyFill="1" applyBorder="1" applyAlignment="1">
      <alignment horizontal="left"/>
    </xf>
    <xf numFmtId="0" fontId="0" fillId="36" borderId="19" xfId="0" applyFont="1" applyFill="1" applyBorder="1" applyAlignment="1">
      <alignment/>
    </xf>
    <xf numFmtId="0" fontId="21" fillId="0" borderId="0" xfId="0" applyFont="1" applyFill="1" applyBorder="1" applyAlignment="1">
      <alignment horizontal="right"/>
    </xf>
    <xf numFmtId="0" fontId="21" fillId="33" borderId="10" xfId="0" applyFont="1" applyFill="1" applyBorder="1" applyAlignment="1">
      <alignment/>
    </xf>
    <xf numFmtId="0" fontId="9" fillId="0" borderId="0" xfId="0" applyFont="1" applyFill="1" applyBorder="1" applyAlignment="1">
      <alignment/>
    </xf>
    <xf numFmtId="0" fontId="0" fillId="0" borderId="14" xfId="0" applyBorder="1" applyAlignment="1">
      <alignment/>
    </xf>
    <xf numFmtId="0" fontId="9" fillId="0" borderId="0" xfId="0" applyFont="1" applyAlignment="1">
      <alignment horizontal="right"/>
    </xf>
    <xf numFmtId="0" fontId="9" fillId="0" borderId="20" xfId="0" applyFont="1" applyBorder="1" applyAlignment="1">
      <alignment/>
    </xf>
    <xf numFmtId="0" fontId="22" fillId="0" borderId="10" xfId="0" applyFont="1" applyBorder="1" applyAlignment="1">
      <alignment horizontal="center"/>
    </xf>
    <xf numFmtId="0" fontId="9" fillId="0" borderId="10" xfId="0" applyFont="1" applyBorder="1" applyAlignment="1">
      <alignment horizontal="right" wrapText="1"/>
    </xf>
    <xf numFmtId="0" fontId="9" fillId="0" borderId="10" xfId="0" applyFont="1" applyBorder="1" applyAlignment="1">
      <alignment horizontal="right"/>
    </xf>
    <xf numFmtId="0" fontId="9" fillId="0" borderId="10" xfId="0" applyFont="1" applyBorder="1" applyAlignment="1">
      <alignment/>
    </xf>
    <xf numFmtId="0" fontId="10" fillId="0" borderId="11" xfId="0" applyFont="1" applyBorder="1" applyAlignment="1">
      <alignment horizontal="center"/>
    </xf>
    <xf numFmtId="179" fontId="9" fillId="0" borderId="18" xfId="0" applyNumberFormat="1" applyFont="1" applyBorder="1" applyAlignment="1">
      <alignment/>
    </xf>
    <xf numFmtId="179" fontId="10" fillId="0" borderId="17" xfId="0" applyNumberFormat="1" applyFont="1" applyBorder="1" applyAlignment="1">
      <alignment/>
    </xf>
    <xf numFmtId="10" fontId="9" fillId="0" borderId="10" xfId="0" applyNumberFormat="1" applyFont="1" applyBorder="1" applyAlignment="1">
      <alignment/>
    </xf>
    <xf numFmtId="178" fontId="10" fillId="0" borderId="16" xfId="0" applyNumberFormat="1" applyFont="1" applyBorder="1" applyAlignment="1">
      <alignment/>
    </xf>
    <xf numFmtId="0" fontId="10" fillId="0" borderId="0" xfId="0" applyFont="1" applyAlignment="1">
      <alignment horizontal="left"/>
    </xf>
    <xf numFmtId="0" fontId="10" fillId="33" borderId="10" xfId="0" applyNumberFormat="1" applyFont="1" applyFill="1" applyBorder="1" applyAlignment="1" applyProtection="1">
      <alignment/>
      <protection locked="0"/>
    </xf>
    <xf numFmtId="179" fontId="9" fillId="36" borderId="10" xfId="0" applyNumberFormat="1" applyFont="1" applyFill="1" applyBorder="1" applyAlignment="1">
      <alignment/>
    </xf>
    <xf numFmtId="180" fontId="9" fillId="36" borderId="10" xfId="0" applyNumberFormat="1" applyFont="1" applyFill="1" applyBorder="1" applyAlignment="1">
      <alignment/>
    </xf>
    <xf numFmtId="178" fontId="9" fillId="36" borderId="23" xfId="0" applyNumberFormat="1" applyFont="1" applyFill="1" applyBorder="1" applyAlignment="1">
      <alignment horizontal="right"/>
    </xf>
    <xf numFmtId="178" fontId="9" fillId="36" borderId="23" xfId="0" applyNumberFormat="1" applyFont="1" applyFill="1" applyBorder="1" applyAlignment="1">
      <alignment/>
    </xf>
    <xf numFmtId="184" fontId="9" fillId="36" borderId="24" xfId="0" applyNumberFormat="1" applyFont="1" applyFill="1" applyBorder="1" applyAlignment="1">
      <alignment/>
    </xf>
    <xf numFmtId="178" fontId="9" fillId="36" borderId="19" xfId="0" applyNumberFormat="1" applyFont="1" applyFill="1" applyBorder="1" applyAlignment="1">
      <alignment/>
    </xf>
    <xf numFmtId="178" fontId="9" fillId="36" borderId="19" xfId="0" applyNumberFormat="1" applyFont="1" applyFill="1" applyBorder="1" applyAlignment="1">
      <alignment/>
    </xf>
    <xf numFmtId="178" fontId="9" fillId="36" borderId="20" xfId="0" applyNumberFormat="1" applyFont="1" applyFill="1" applyBorder="1" applyAlignment="1">
      <alignment horizontal="left"/>
    </xf>
    <xf numFmtId="0" fontId="9" fillId="0" borderId="0" xfId="0" applyFont="1" applyFill="1" applyAlignment="1">
      <alignment/>
    </xf>
    <xf numFmtId="0" fontId="23" fillId="0" borderId="0" xfId="0" applyFont="1" applyAlignment="1">
      <alignment/>
    </xf>
    <xf numFmtId="0" fontId="3" fillId="0" borderId="11" xfId="50" applyFont="1" applyFill="1" applyBorder="1" applyAlignment="1" quotePrefix="1">
      <alignment horizontal="center"/>
      <protection/>
    </xf>
  </cellXfs>
  <cellStyles count="55">
    <cellStyle name="Normal" xfId="0"/>
    <cellStyle name="Comma [0]" xfId="15"/>
    <cellStyle name="入力" xfId="16"/>
    <cellStyle name="Comma" xfId="17"/>
    <cellStyle name="標準_compa" xfId="18"/>
    <cellStyle name="Currency [0]" xfId="19"/>
    <cellStyle name="標準_Book1" xfId="20"/>
    <cellStyle name="40% - アクセント 5" xfId="21"/>
    <cellStyle name="Currency" xfId="22"/>
    <cellStyle name="Percent" xfId="23"/>
    <cellStyle name="標準_Design" xfId="24"/>
    <cellStyle name="Hyperlink" xfId="25"/>
    <cellStyle name="アクセント 2" xfId="26"/>
    <cellStyle name="Followed Hyperlink" xfId="27"/>
    <cellStyle name="20% - アクセント 4" xfId="28"/>
    <cellStyle name="メモ" xfId="29"/>
    <cellStyle name="良い" xfId="30"/>
    <cellStyle name="警告文" xfId="31"/>
    <cellStyle name="リンクセル" xfId="32"/>
    <cellStyle name="タイトル" xfId="33"/>
    <cellStyle name="説明文" xfId="34"/>
    <cellStyle name="アクセント 6" xfId="35"/>
    <cellStyle name="出力" xfId="36"/>
    <cellStyle name="見出し 1" xfId="37"/>
    <cellStyle name="見出し 2" xfId="38"/>
    <cellStyle name="計算" xfId="39"/>
    <cellStyle name="見出し 3" xfId="40"/>
    <cellStyle name="見出し 4" xfId="41"/>
    <cellStyle name="60% - アクセント 5" xfId="42"/>
    <cellStyle name="チェックセル" xfId="43"/>
    <cellStyle name="40% - アクセント 1" xfId="44"/>
    <cellStyle name="集計" xfId="45"/>
    <cellStyle name="悪い" xfId="46"/>
    <cellStyle name="どちらでもない" xfId="47"/>
    <cellStyle name="アクセント 1" xfId="48"/>
    <cellStyle name="20% - アクセント 1" xfId="49"/>
    <cellStyle name="標準_Sheet1" xfId="50"/>
    <cellStyle name="20% - アクセント 5" xfId="51"/>
    <cellStyle name="60% - アクセント 1" xfId="52"/>
    <cellStyle name="20% - アクセント 2" xfId="53"/>
    <cellStyle name="40% - アクセント 2" xfId="54"/>
    <cellStyle name="20% - アクセント 6" xfId="55"/>
    <cellStyle name="60% - アクセント 2" xfId="56"/>
    <cellStyle name="アクセント 3" xfId="57"/>
    <cellStyle name="20% - アクセント 3" xfId="58"/>
    <cellStyle name="40% - アクセント 3" xfId="59"/>
    <cellStyle name="標準_Arm Data Calculator" xfId="60"/>
    <cellStyle name="60% - アクセント 3" xfId="61"/>
    <cellStyle name="アクセント 4" xfId="62"/>
    <cellStyle name="40% - アクセント 4" xfId="63"/>
    <cellStyle name="60% - アクセント 4" xfId="64"/>
    <cellStyle name="アクセント 5" xfId="65"/>
    <cellStyle name="40% - アクセント 6" xfId="66"/>
    <cellStyle name="60% - アクセント 6" xfId="67"/>
    <cellStyle name="標準_Book1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latin typeface="Times New Roman"/>
                <a:ea typeface="Times New Roman"/>
                <a:cs typeface="Times New Roman"/>
              </a:rPr>
              <a:t>Error angle &amp; Distortion at specific velocity</a:t>
            </a:r>
          </a:p>
        </c:rich>
      </c:tx>
      <c:layout>
        <c:manualLayout>
          <c:xMode val="factor"/>
          <c:yMode val="factor"/>
          <c:x val="0.0155"/>
          <c:y val="0.01375"/>
        </c:manualLayout>
      </c:layout>
      <c:spPr>
        <a:noFill/>
        <a:ln w="3175">
          <a:noFill/>
        </a:ln>
      </c:spPr>
    </c:title>
    <c:plotArea>
      <c:layout>
        <c:manualLayout>
          <c:xMode val="edge"/>
          <c:yMode val="edge"/>
          <c:x val="0.074"/>
          <c:y val="0.105"/>
          <c:w val="0.896"/>
          <c:h val="0.77175"/>
        </c:manualLayout>
      </c:layout>
      <c:scatterChart>
        <c:scatterStyle val="smooth"/>
        <c:varyColors val="0"/>
        <c:ser>
          <c:idx val="0"/>
          <c:order val="0"/>
          <c:tx>
            <c:strRef>
              <c:f>Graph!$B$16:$B$18</c:f>
              <c:strCache>
                <c:ptCount val="1"/>
                <c:pt idx="0">
                  <c:v>Tracking Error　° manufacturer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Graph!$B$19:$B$109</c:f>
              <c:numCache/>
            </c:numRef>
          </c:yVal>
          <c:smooth val="1"/>
        </c:ser>
        <c:ser>
          <c:idx val="1"/>
          <c:order val="1"/>
          <c:tx>
            <c:strRef>
              <c:f>Graph!$C$16:$C$18</c:f>
              <c:strCache>
                <c:ptCount val="1"/>
                <c:pt idx="0">
                  <c:v>% Tracking Distortion manufacturer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Graph!$C$19:$C$109</c:f>
              <c:numCache/>
            </c:numRef>
          </c:yVal>
          <c:smooth val="1"/>
        </c:ser>
        <c:ser>
          <c:idx val="2"/>
          <c:order val="2"/>
          <c:tx>
            <c:strRef>
              <c:f>Graph!$D$16:$D$18</c:f>
              <c:strCache>
                <c:ptCount val="1"/>
                <c:pt idx="0">
                  <c:v>Tracking Error　° baerwald</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Graph!$D$19:$D$109</c:f>
              <c:numCache/>
            </c:numRef>
          </c:yVal>
          <c:smooth val="1"/>
        </c:ser>
        <c:ser>
          <c:idx val="3"/>
          <c:order val="3"/>
          <c:tx>
            <c:strRef>
              <c:f>Graph!$E$16:$E$18</c:f>
              <c:strCache>
                <c:ptCount val="1"/>
                <c:pt idx="0">
                  <c:v>% Tracking Distortion baerwald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Graph!$E$19:$E$109</c:f>
              <c:numCache/>
            </c:numRef>
          </c:yVal>
          <c:smooth val="1"/>
        </c:ser>
        <c:ser>
          <c:idx val="4"/>
          <c:order val="4"/>
          <c:tx>
            <c:strRef>
              <c:f>Graph!$F$16:$F$18</c:f>
              <c:strCache>
                <c:ptCount val="1"/>
                <c:pt idx="0">
                  <c:v>Tracking Error　° loefgren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Graph!$F$19:$F$109</c:f>
              <c:numCache/>
            </c:numRef>
          </c:yVal>
          <c:smooth val="1"/>
        </c:ser>
        <c:ser>
          <c:idx val="5"/>
          <c:order val="5"/>
          <c:tx>
            <c:strRef>
              <c:f>Graph!$G$16:$G$18</c:f>
              <c:strCache>
                <c:ptCount val="1"/>
                <c:pt idx="0">
                  <c:v>% Tracking Distortion loefgren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Graph!$G$19:$G$109</c:f>
              <c:numCache/>
            </c:numRef>
          </c:yVal>
          <c:smooth val="1"/>
        </c:ser>
        <c:axId val="40650114"/>
        <c:axId val="4324899"/>
      </c:scatterChart>
      <c:valAx>
        <c:axId val="40650114"/>
        <c:scaling>
          <c:orientation val="minMax"/>
          <c:max val="147"/>
          <c:min val="57"/>
        </c:scaling>
        <c:axPos val="b"/>
        <c:title>
          <c:tx>
            <c:rich>
              <a:bodyPr vert="horz" rot="0" anchor="ctr"/>
              <a:lstStyle/>
              <a:p>
                <a:pPr algn="ctr">
                  <a:defRPr/>
                </a:pPr>
                <a:r>
                  <a:rPr lang="en-US" cap="none" sz="1025" b="0" i="0" u="none" baseline="0">
                    <a:solidFill>
                      <a:srgbClr val="000000"/>
                    </a:solidFill>
                    <a:latin typeface="Times New Roman"/>
                    <a:ea typeface="Times New Roman"/>
                    <a:cs typeface="Times New Roman"/>
                  </a:rPr>
                  <a:t>groove radius (mm)</a:t>
                </a:r>
              </a:p>
            </c:rich>
          </c:tx>
          <c:layout>
            <c:manualLayout>
              <c:xMode val="factor"/>
              <c:yMode val="factor"/>
              <c:x val="-0.12075"/>
              <c:y val="0.085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Times New Roman"/>
                <a:ea typeface="Times New Roman"/>
                <a:cs typeface="Times New Roman"/>
              </a:defRPr>
            </a:pPr>
          </a:p>
        </c:txPr>
        <c:crossAx val="4324899"/>
        <c:crosses val="autoZero"/>
        <c:crossBetween val="midCat"/>
        <c:dispUnits/>
      </c:valAx>
      <c:valAx>
        <c:axId val="4324899"/>
        <c:scaling>
          <c:orientation val="minMax"/>
        </c:scaling>
        <c:axPos val="l"/>
        <c:majorGridlines>
          <c:spPr>
            <a:ln w="3175">
              <a:solidFill>
                <a:srgbClr val="000000"/>
              </a:solidFill>
            </a:ln>
          </c:spPr>
        </c:majorGridlines>
        <c:delete val="0"/>
        <c:numFmt formatCode="0.0_);[Red]\(0.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Times New Roman"/>
                <a:ea typeface="Times New Roman"/>
                <a:cs typeface="Times New Roman"/>
              </a:defRPr>
            </a:pPr>
          </a:p>
        </c:txPr>
        <c:crossAx val="40650114"/>
        <c:crossesAt val="57"/>
        <c:crossBetween val="midCat"/>
        <c:dispUnits/>
      </c:valAx>
      <c:spPr>
        <a:solidFill>
          <a:srgbClr val="C0C0C0"/>
        </a:solidFill>
        <a:ln w="12700">
          <a:solidFill>
            <a:srgbClr val="808080"/>
          </a:solidFill>
        </a:ln>
      </c:spPr>
    </c:plotArea>
    <c:legend>
      <c:legendPos val="r"/>
      <c:layout>
        <c:manualLayout>
          <c:xMode val="edge"/>
          <c:yMode val="edge"/>
          <c:x val="0.1985"/>
          <c:y val="0.1705"/>
          <c:w val="0.40675"/>
          <c:h val="0.271"/>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Overhang vs Tracking Angle</a:t>
            </a:r>
          </a:p>
        </c:rich>
      </c:tx>
      <c:layout/>
      <c:spPr>
        <a:noFill/>
        <a:ln w="3175">
          <a:noFill/>
        </a:ln>
      </c:spPr>
    </c:title>
    <c:plotArea>
      <c:layout/>
      <c:scatterChart>
        <c:scatterStyle val="smooth"/>
        <c:varyColors val="0"/>
        <c:ser>
          <c:idx val="0"/>
          <c:order val="0"/>
          <c:tx>
            <c:v>D/L=0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1"/>
          <c:order val="1"/>
          <c:tx>
            <c:v>D/L=0.02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2"/>
          <c:order val="2"/>
          <c:tx>
            <c:v>D/L=0.04</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3"/>
          <c:order val="3"/>
          <c:tx>
            <c:v>D/L=0.06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4"/>
          <c:order val="4"/>
          <c:tx>
            <c:v>D/L=0.08</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5"/>
          <c:order val="5"/>
          <c:tx>
            <c:v>D/L=0.1</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6"/>
          <c:order val="6"/>
          <c:tx>
            <c:v>D/L=-0.088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axId val="14772500"/>
        <c:axId val="55721813"/>
      </c:scatterChart>
      <c:valAx>
        <c:axId val="14772500"/>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55721813"/>
        <c:crosses val="autoZero"/>
        <c:crossBetween val="midCat"/>
        <c:dispUnits/>
      </c:valAx>
      <c:valAx>
        <c:axId val="55721813"/>
        <c:scaling>
          <c:orientation val="minMax"/>
          <c:max val="3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14772500"/>
        <c:crosses val="autoZero"/>
        <c:crossBetween val="midCat"/>
        <c:dispUnits/>
        <c:majorUnit val="5"/>
        <c:minorUnit val="1"/>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Times New Roman"/>
                <a:ea typeface="Times New Roman"/>
                <a:cs typeface="Times New Roman"/>
              </a:rPr>
              <a:t>Overhang vs Tracking Angle</a:t>
            </a:r>
          </a:p>
        </c:rich>
      </c:tx>
      <c:layout>
        <c:manualLayout>
          <c:xMode val="factor"/>
          <c:yMode val="factor"/>
          <c:x val="0.01325"/>
          <c:y val="-0.00525"/>
        </c:manualLayout>
      </c:layout>
      <c:spPr>
        <a:noFill/>
        <a:ln w="3175">
          <a:noFill/>
        </a:ln>
      </c:spPr>
    </c:title>
    <c:plotArea>
      <c:layout>
        <c:manualLayout>
          <c:xMode val="edge"/>
          <c:yMode val="edge"/>
          <c:x val="0.083"/>
          <c:y val="0.0955"/>
          <c:w val="0.75225"/>
          <c:h val="0.82425"/>
        </c:manualLayout>
      </c:layout>
      <c:scatterChart>
        <c:scatterStyle val="smooth"/>
        <c:varyColors val="0"/>
        <c:ser>
          <c:idx val="7"/>
          <c:order val="0"/>
          <c:tx>
            <c:v>D/L 0.1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Designs!$I$9:$I$19</c:f>
              <c:numCache/>
            </c:numRef>
          </c:yVal>
          <c:smooth val="1"/>
        </c:ser>
        <c:ser>
          <c:idx val="6"/>
          <c:order val="1"/>
          <c:tx>
            <c:v>D/L 0.08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Designs!$H$9:$H$19</c:f>
              <c:numCache/>
            </c:numRef>
          </c:yVal>
          <c:smooth val="1"/>
        </c:ser>
        <c:ser>
          <c:idx val="5"/>
          <c:order val="2"/>
          <c:tx>
            <c:v>D/L 0.06</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Designs!$G$9:$G$19</c:f>
              <c:numCache/>
            </c:numRef>
          </c:yVal>
          <c:smooth val="1"/>
        </c:ser>
        <c:ser>
          <c:idx val="4"/>
          <c:order val="3"/>
          <c:tx>
            <c:v>D/L 0.04</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Designs!$F$9:$F$19</c:f>
              <c:numCache/>
            </c:numRef>
          </c:yVal>
          <c:smooth val="1"/>
        </c:ser>
        <c:ser>
          <c:idx val="3"/>
          <c:order val="4"/>
          <c:tx>
            <c:v>D/L 0.02</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Designs!$E$9:$E$19</c:f>
              <c:numCache/>
            </c:numRef>
          </c:yVal>
          <c:smooth val="1"/>
        </c:ser>
        <c:ser>
          <c:idx val="2"/>
          <c:order val="5"/>
          <c:tx>
            <c:v>D/L 0</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Designs!$D$9:$D$19</c:f>
              <c:numCache/>
            </c:numRef>
          </c:yVal>
          <c:smooth val="1"/>
        </c:ser>
        <c:ser>
          <c:idx val="1"/>
          <c:order val="6"/>
          <c:tx>
            <c:v>D/L -0.02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Designs!$C$9:$C$19</c:f>
              <c:numCache/>
            </c:numRef>
          </c:yVal>
          <c:smooth val="1"/>
        </c:ser>
        <c:ser>
          <c:idx val="0"/>
          <c:order val="7"/>
          <c:tx>
            <c:v>D/L -0.04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Designs!$B$9:$B$19</c:f>
              <c:numCache/>
            </c:numRef>
          </c:yVal>
          <c:smooth val="1"/>
        </c:ser>
        <c:axId val="17172966"/>
        <c:axId val="48832967"/>
      </c:scatterChart>
      <c:valAx>
        <c:axId val="17172966"/>
        <c:scaling>
          <c:orientation val="minMax"/>
          <c:max val="0.65"/>
          <c:min val="0.15"/>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r/L</a:t>
                </a:r>
              </a:p>
            </c:rich>
          </c:tx>
          <c:layout>
            <c:manualLayout>
              <c:xMode val="factor"/>
              <c:yMode val="factor"/>
              <c:x val="-0.1115"/>
              <c:y val="0.022"/>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48832967"/>
        <c:crossesAt val="-10"/>
        <c:crossBetween val="midCat"/>
        <c:dispUnits/>
        <c:majorUnit val="0.05"/>
        <c:minorUnit val="0.05"/>
      </c:valAx>
      <c:valAx>
        <c:axId val="48832967"/>
        <c:scaling>
          <c:orientation val="minMax"/>
          <c:max val="45"/>
        </c:scaling>
        <c:axPos val="l"/>
        <c:title>
          <c:tx>
            <c:rich>
              <a:bodyPr vert="horz" rot="-5400000" anchor="ctr"/>
              <a:lstStyle/>
              <a:p>
                <a:pPr algn="ctr">
                  <a:defRPr/>
                </a:pPr>
                <a:r>
                  <a:rPr lang="en-US" cap="none" sz="1000" b="0" i="0" u="none" baseline="0">
                    <a:solidFill>
                      <a:srgbClr val="000000"/>
                    </a:solidFill>
                    <a:latin typeface="Times New Roman"/>
                    <a:ea typeface="Times New Roman"/>
                    <a:cs typeface="Times New Roman"/>
                  </a:rPr>
                  <a:t>Tracking angle (degrees)</a:t>
                </a:r>
              </a:p>
            </c:rich>
          </c:tx>
          <c:layout>
            <c:manualLayout>
              <c:xMode val="factor"/>
              <c:yMode val="factor"/>
              <c:x val="-0.012"/>
              <c:y val="0.09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7172966"/>
        <c:crosses val="autoZero"/>
        <c:crossBetween val="midCat"/>
        <c:dispUnits/>
        <c:majorUnit val="5"/>
        <c:minorUnit val="1"/>
      </c:valAx>
      <c:spPr>
        <a:solidFill>
          <a:srgbClr val="C0C0C0"/>
        </a:solidFill>
        <a:ln w="12700">
          <a:solidFill>
            <a:srgbClr val="808080"/>
          </a:solidFill>
        </a:ln>
      </c:spPr>
    </c:plotArea>
    <c:legend>
      <c:legendPos val="r"/>
      <c:layout>
        <c:manualLayout>
          <c:xMode val="edge"/>
          <c:yMode val="edge"/>
          <c:x val="0.8495"/>
          <c:y val="0.101"/>
          <c:w val="0.13"/>
          <c:h val="0.54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Lateral Tracking Angle Error</a:t>
            </a:r>
          </a:p>
        </c:rich>
      </c:tx>
      <c:layout>
        <c:manualLayout>
          <c:xMode val="factor"/>
          <c:yMode val="factor"/>
          <c:x val="0.004"/>
          <c:y val="-0.007"/>
        </c:manualLayout>
      </c:layout>
      <c:spPr>
        <a:noFill/>
        <a:ln w="3175">
          <a:noFill/>
        </a:ln>
      </c:spPr>
    </c:title>
    <c:plotArea>
      <c:layout>
        <c:manualLayout>
          <c:xMode val="edge"/>
          <c:yMode val="edge"/>
          <c:x val="0.099"/>
          <c:y val="0.11175"/>
          <c:w val="0.8735"/>
          <c:h val="0.64275"/>
        </c:manualLayout>
      </c:layout>
      <c:scatterChart>
        <c:scatterStyle val="smooth"/>
        <c:varyColors val="0"/>
        <c:ser>
          <c:idx val="1"/>
          <c:order val="0"/>
          <c:tx>
            <c:v>Saec WE-308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Designs!$B$72:$B$107</c:f>
              <c:numCache/>
            </c:numRef>
          </c:yVal>
          <c:smooth val="1"/>
        </c:ser>
        <c:ser>
          <c:idx val="2"/>
          <c:order val="1"/>
          <c:tx>
            <c:v>Micro MA-505</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Designs!$D$72:$D$107</c:f>
              <c:numCache/>
            </c:numRef>
          </c:yVal>
          <c:smooth val="1"/>
        </c:ser>
        <c:ser>
          <c:idx val="3"/>
          <c:order val="2"/>
          <c:tx>
            <c:v>SME 3009R</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Designs!$F$72:$F$107</c:f>
              <c:numCache/>
            </c:numRef>
          </c:yVal>
          <c:smooth val="1"/>
        </c:ser>
        <c:ser>
          <c:idx val="5"/>
          <c:order val="3"/>
          <c:tx>
            <c:v>Ortofon RMG-212</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Designs!$H$72:$H$107</c:f>
              <c:numCache/>
            </c:numRef>
          </c:yVal>
          <c:smooth val="1"/>
        </c:ser>
        <c:ser>
          <c:idx val="6"/>
          <c:order val="4"/>
          <c:tx>
            <c:v>Ortofon RMG-309</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Designs!$J$72:$J$107</c:f>
              <c:numCache/>
            </c:numRef>
          </c:yVal>
          <c:smooth val="1"/>
        </c:ser>
        <c:axId val="63156216"/>
        <c:axId val="15379833"/>
      </c:scatterChart>
      <c:valAx>
        <c:axId val="63156216"/>
        <c:scaling>
          <c:orientation val="minMax"/>
          <c:max val="145"/>
          <c:min val="50"/>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Groove Radius (mm)</a:t>
                </a:r>
              </a:p>
            </c:rich>
          </c:tx>
          <c:layout>
            <c:manualLayout>
              <c:xMode val="factor"/>
              <c:yMode val="factor"/>
              <c:x val="-0.10675"/>
              <c:y val="0.0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5379833"/>
        <c:crossesAt val="-2"/>
        <c:crossBetween val="midCat"/>
        <c:dispUnits/>
        <c:majorUnit val="10"/>
        <c:minorUnit val="5"/>
      </c:valAx>
      <c:valAx>
        <c:axId val="15379833"/>
        <c:scaling>
          <c:orientation val="minMax"/>
          <c:max val="8"/>
        </c:scaling>
        <c:axPos val="l"/>
        <c:title>
          <c:tx>
            <c:rich>
              <a:bodyPr vert="horz" rot="-5400000" anchor="ctr"/>
              <a:lstStyle/>
              <a:p>
                <a:pPr algn="ctr">
                  <a:defRPr/>
                </a:pPr>
                <a:r>
                  <a:rPr lang="en-US" cap="none" sz="1200" b="0" i="0" u="none" baseline="0">
                    <a:solidFill>
                      <a:srgbClr val="000000"/>
                    </a:solidFill>
                    <a:latin typeface="Times New Roman"/>
                    <a:ea typeface="Times New Roman"/>
                    <a:cs typeface="Times New Roman"/>
                  </a:rPr>
                  <a:t>Error (degrees)</a:t>
                </a:r>
              </a:p>
            </c:rich>
          </c:tx>
          <c:layout>
            <c:manualLayout>
              <c:xMode val="factor"/>
              <c:yMode val="factor"/>
              <c:x val="-0.00325"/>
              <c:y val="0.083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63156216"/>
        <c:crossesAt val="0"/>
        <c:crossBetween val="midCat"/>
        <c:dispUnits/>
      </c:valAx>
      <c:spPr>
        <a:solidFill>
          <a:srgbClr val="C0C0C0"/>
        </a:solidFill>
        <a:ln w="12700">
          <a:solidFill>
            <a:srgbClr val="808080"/>
          </a:solidFill>
        </a:ln>
      </c:spPr>
    </c:plotArea>
    <c:legend>
      <c:legendPos val="r"/>
      <c:layout>
        <c:manualLayout>
          <c:xMode val="edge"/>
          <c:yMode val="edge"/>
          <c:x val="0.16775"/>
          <c:y val="0.12125"/>
          <c:w val="0.223"/>
          <c:h val="0.356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Distortion due to Lateral Tracking Angle Error (against signal velocity 10cm/s)</a:t>
            </a:r>
          </a:p>
        </c:rich>
      </c:tx>
      <c:layout>
        <c:manualLayout>
          <c:xMode val="factor"/>
          <c:yMode val="factor"/>
          <c:x val="0.00675"/>
          <c:y val="0.0135"/>
        </c:manualLayout>
      </c:layout>
      <c:spPr>
        <a:noFill/>
        <a:ln w="3175">
          <a:noFill/>
        </a:ln>
      </c:spPr>
    </c:title>
    <c:plotArea>
      <c:layout>
        <c:manualLayout>
          <c:xMode val="edge"/>
          <c:yMode val="edge"/>
          <c:x val="0.09175"/>
          <c:y val="0.11475"/>
          <c:w val="0.88075"/>
          <c:h val="0.68675"/>
        </c:manualLayout>
      </c:layout>
      <c:scatterChart>
        <c:scatterStyle val="smooth"/>
        <c:varyColors val="0"/>
        <c:ser>
          <c:idx val="1"/>
          <c:order val="0"/>
          <c:tx>
            <c:v>Saec WE-308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Designs!$C$72:$C$107</c:f>
              <c:numCache/>
            </c:numRef>
          </c:yVal>
          <c:smooth val="1"/>
        </c:ser>
        <c:ser>
          <c:idx val="2"/>
          <c:order val="1"/>
          <c:tx>
            <c:v>Micro MA-505</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Designs!$E$72:$E$107</c:f>
              <c:numCache/>
            </c:numRef>
          </c:yVal>
          <c:smooth val="1"/>
        </c:ser>
        <c:ser>
          <c:idx val="3"/>
          <c:order val="2"/>
          <c:tx>
            <c:v>SME 3009R</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Designs!$G$72:$G$107</c:f>
              <c:numCache/>
            </c:numRef>
          </c:yVal>
          <c:smooth val="1"/>
        </c:ser>
        <c:ser>
          <c:idx val="5"/>
          <c:order val="3"/>
          <c:tx>
            <c:v>Ortofon RMG-212</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Designs!$I$72:$I$107</c:f>
              <c:numCache/>
            </c:numRef>
          </c:yVal>
          <c:smooth val="1"/>
        </c:ser>
        <c:ser>
          <c:idx val="6"/>
          <c:order val="4"/>
          <c:tx>
            <c:v>Ortofon RMG-309</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Designs!$K$72:$K$107</c:f>
              <c:numCache/>
            </c:numRef>
          </c:yVal>
          <c:smooth val="1"/>
        </c:ser>
        <c:axId val="37806922"/>
        <c:axId val="42461803"/>
      </c:scatterChart>
      <c:valAx>
        <c:axId val="37806922"/>
        <c:scaling>
          <c:orientation val="minMax"/>
          <c:max val="145"/>
          <c:min val="50"/>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Groove Radius (mm)</a:t>
                </a:r>
              </a:p>
            </c:rich>
          </c:tx>
          <c:layout>
            <c:manualLayout>
              <c:xMode val="factor"/>
              <c:yMode val="factor"/>
              <c:x val="-0.10675"/>
              <c:y val="0.037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42461803"/>
        <c:crosses val="autoZero"/>
        <c:crossBetween val="midCat"/>
        <c:dispUnits/>
        <c:minorUnit val="5"/>
      </c:valAx>
      <c:valAx>
        <c:axId val="42461803"/>
        <c:scaling>
          <c:orientation val="minMax"/>
          <c:max val="3"/>
          <c:min val="0"/>
        </c:scaling>
        <c:axPos val="l"/>
        <c:title>
          <c:tx>
            <c:rich>
              <a:bodyPr vert="horz" rot="-5400000" anchor="ctr"/>
              <a:lstStyle/>
              <a:p>
                <a:pPr algn="ctr">
                  <a:defRPr/>
                </a:pPr>
                <a:r>
                  <a:rPr lang="en-US" cap="none" sz="1200" b="0" i="0" u="none" baseline="0">
                    <a:solidFill>
                      <a:srgbClr val="000000"/>
                    </a:solidFill>
                    <a:latin typeface="Times New Roman"/>
                    <a:ea typeface="Times New Roman"/>
                    <a:cs typeface="Times New Roman"/>
                  </a:rPr>
                  <a:t>2nd Harmonic Distortion (%)</a:t>
                </a:r>
              </a:p>
            </c:rich>
          </c:tx>
          <c:layout>
            <c:manualLayout>
              <c:xMode val="factor"/>
              <c:yMode val="factor"/>
              <c:x val="-0.02175"/>
              <c:y val="0.114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7806922"/>
        <c:crosses val="autoZero"/>
        <c:crossBetween val="midCat"/>
        <c:dispUnits/>
        <c:majorUnit val="1"/>
        <c:minorUnit val="0.5"/>
      </c:valAx>
      <c:spPr>
        <a:solidFill>
          <a:srgbClr val="C0C0C0"/>
        </a:solidFill>
        <a:ln w="12700">
          <a:solidFill>
            <a:srgbClr val="808080"/>
          </a:solidFill>
        </a:ln>
      </c:spPr>
    </c:plotArea>
    <c:legend>
      <c:legendPos val="r"/>
      <c:layout>
        <c:manualLayout>
          <c:xMode val="edge"/>
          <c:yMode val="edge"/>
          <c:x val="0.22"/>
          <c:y val="0.214"/>
          <c:w val="0.22475"/>
          <c:h val="0.275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38100</xdr:rowOff>
    </xdr:from>
    <xdr:to>
      <xdr:col>15</xdr:col>
      <xdr:colOff>447675</xdr:colOff>
      <xdr:row>40</xdr:row>
      <xdr:rowOff>19050</xdr:rowOff>
    </xdr:to>
    <xdr:graphicFrame>
      <xdr:nvGraphicFramePr>
        <xdr:cNvPr id="1" name="Chart 14"/>
        <xdr:cNvGraphicFramePr/>
      </xdr:nvGraphicFramePr>
      <xdr:xfrm>
        <a:off x="4933950" y="3238500"/>
        <a:ext cx="5695950" cy="3752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695325</xdr:colOff>
      <xdr:row>0</xdr:row>
      <xdr:rowOff>0</xdr:rowOff>
    </xdr:to>
    <xdr:graphicFrame>
      <xdr:nvGraphicFramePr>
        <xdr:cNvPr id="1" name="Chart 1"/>
        <xdr:cNvGraphicFramePr/>
      </xdr:nvGraphicFramePr>
      <xdr:xfrm>
        <a:off x="104775" y="0"/>
        <a:ext cx="64103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38100</xdr:rowOff>
    </xdr:from>
    <xdr:to>
      <xdr:col>8</xdr:col>
      <xdr:colOff>847725</xdr:colOff>
      <xdr:row>43</xdr:row>
      <xdr:rowOff>123825</xdr:rowOff>
    </xdr:to>
    <xdr:graphicFrame>
      <xdr:nvGraphicFramePr>
        <xdr:cNvPr id="2" name="Chart 2"/>
        <xdr:cNvGraphicFramePr/>
      </xdr:nvGraphicFramePr>
      <xdr:xfrm>
        <a:off x="57150" y="3295650"/>
        <a:ext cx="7381875" cy="42005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107</xdr:row>
      <xdr:rowOff>95250</xdr:rowOff>
    </xdr:from>
    <xdr:to>
      <xdr:col>8</xdr:col>
      <xdr:colOff>238125</xdr:colOff>
      <xdr:row>125</xdr:row>
      <xdr:rowOff>152400</xdr:rowOff>
    </xdr:to>
    <xdr:graphicFrame>
      <xdr:nvGraphicFramePr>
        <xdr:cNvPr id="3" name="Chart 3"/>
        <xdr:cNvGraphicFramePr/>
      </xdr:nvGraphicFramePr>
      <xdr:xfrm>
        <a:off x="257175" y="18764250"/>
        <a:ext cx="6572250" cy="3486150"/>
      </xdr:xfrm>
      <a:graphic>
        <a:graphicData uri="http://schemas.openxmlformats.org/drawingml/2006/chart">
          <c:chart xmlns:c="http://schemas.openxmlformats.org/drawingml/2006/chart" r:id="rId3"/>
        </a:graphicData>
      </a:graphic>
    </xdr:graphicFrame>
    <xdr:clientData/>
  </xdr:twoCellAnchor>
  <xdr:twoCellAnchor>
    <xdr:from>
      <xdr:col>0</xdr:col>
      <xdr:colOff>285750</xdr:colOff>
      <xdr:row>126</xdr:row>
      <xdr:rowOff>38100</xdr:rowOff>
    </xdr:from>
    <xdr:to>
      <xdr:col>8</xdr:col>
      <xdr:colOff>219075</xdr:colOff>
      <xdr:row>148</xdr:row>
      <xdr:rowOff>104775</xdr:rowOff>
    </xdr:to>
    <xdr:graphicFrame>
      <xdr:nvGraphicFramePr>
        <xdr:cNvPr id="4" name="Chart 4"/>
        <xdr:cNvGraphicFramePr/>
      </xdr:nvGraphicFramePr>
      <xdr:xfrm>
        <a:off x="285750" y="22326600"/>
        <a:ext cx="6524625" cy="42576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14"/>
  <sheetViews>
    <sheetView workbookViewId="0" topLeftCell="A87">
      <selection activeCell="M111" sqref="M111"/>
    </sheetView>
  </sheetViews>
  <sheetFormatPr defaultColWidth="8.8515625" defaultRowHeight="15"/>
  <cols>
    <col min="1" max="1" width="15.28125" style="0" customWidth="1"/>
    <col min="2" max="2" width="7.28125" style="0" customWidth="1"/>
    <col min="3" max="3" width="8.00390625" style="0" customWidth="1"/>
    <col min="4" max="4" width="6.28125" style="0" customWidth="1"/>
    <col min="5" max="5" width="13.00390625" style="0" customWidth="1"/>
    <col min="6" max="6" width="7.00390625" style="0" customWidth="1"/>
    <col min="7" max="7" width="9.28125" style="0" customWidth="1"/>
    <col min="8" max="8" width="14.8515625" style="0" customWidth="1"/>
    <col min="9" max="9" width="8.57421875" style="0" customWidth="1"/>
    <col min="10" max="10" width="6.140625" style="0" customWidth="1"/>
    <col min="11" max="11" width="12.140625" style="0" customWidth="1"/>
    <col min="12" max="12" width="6.57421875" style="0" customWidth="1"/>
  </cols>
  <sheetData>
    <row r="1" spans="1:12" ht="17.25">
      <c r="A1" s="229" t="s">
        <v>0</v>
      </c>
      <c r="B1" s="214"/>
      <c r="C1" s="214"/>
      <c r="D1" s="214"/>
      <c r="E1" s="214"/>
      <c r="F1" s="214"/>
      <c r="G1" s="214"/>
      <c r="H1" s="214"/>
      <c r="I1" s="214"/>
      <c r="J1" s="214"/>
      <c r="K1" s="214"/>
      <c r="L1" s="214"/>
    </row>
    <row r="2" spans="1:12" ht="13.5">
      <c r="A2" s="230" t="s">
        <v>1</v>
      </c>
      <c r="B2" s="231"/>
      <c r="C2" s="231"/>
      <c r="D2" s="231"/>
      <c r="E2" s="214"/>
      <c r="G2" s="232"/>
      <c r="H2" s="232"/>
      <c r="I2" s="232"/>
      <c r="J2" s="232"/>
      <c r="K2" s="232"/>
      <c r="L2" s="232"/>
    </row>
    <row r="3" spans="1:12" ht="13.5">
      <c r="A3" s="233" t="s">
        <v>2</v>
      </c>
      <c r="B3" s="231"/>
      <c r="C3" s="231"/>
      <c r="D3" s="214"/>
      <c r="E3" s="233"/>
      <c r="F3" s="232"/>
      <c r="G3" s="232"/>
      <c r="H3" s="232"/>
      <c r="I3" s="232"/>
      <c r="J3" s="232"/>
      <c r="K3" s="232"/>
      <c r="L3" s="214"/>
    </row>
    <row r="4" spans="1:12" ht="13.5">
      <c r="A4" s="234" t="s">
        <v>3</v>
      </c>
      <c r="B4" s="231"/>
      <c r="C4" s="231"/>
      <c r="D4" s="214"/>
      <c r="E4" s="233"/>
      <c r="F4" s="232"/>
      <c r="G4" s="232"/>
      <c r="H4" s="232"/>
      <c r="I4" s="232"/>
      <c r="J4" s="232"/>
      <c r="K4" s="232"/>
      <c r="L4" s="214"/>
    </row>
    <row r="5" spans="1:12" ht="13.5">
      <c r="A5" s="230" t="s">
        <v>4</v>
      </c>
      <c r="B5" s="234"/>
      <c r="C5" s="231"/>
      <c r="D5" s="231"/>
      <c r="E5" s="214"/>
      <c r="F5" s="233"/>
      <c r="G5" s="230" t="s">
        <v>5</v>
      </c>
      <c r="H5" s="232"/>
      <c r="I5" s="232"/>
      <c r="J5" s="232"/>
      <c r="K5" s="232"/>
      <c r="L5" s="232"/>
    </row>
    <row r="6" spans="1:12" ht="13.5">
      <c r="A6" s="214" t="s">
        <v>6</v>
      </c>
      <c r="B6" s="214">
        <f>C9-C8</f>
        <v>213.25</v>
      </c>
      <c r="C6" s="214" t="s">
        <v>7</v>
      </c>
      <c r="D6" s="214"/>
      <c r="E6" s="235"/>
      <c r="G6" s="236" t="s">
        <v>8</v>
      </c>
      <c r="H6" s="235"/>
      <c r="I6" s="235"/>
      <c r="J6" s="232"/>
      <c r="K6" s="232"/>
      <c r="L6" s="232"/>
    </row>
    <row r="7" spans="1:12" ht="13.5">
      <c r="A7" s="214" t="s">
        <v>9</v>
      </c>
      <c r="B7" s="237">
        <f>SIN($C$10*PI()/180)*$C$9</f>
        <v>93.44733162321937</v>
      </c>
      <c r="C7" s="214" t="s">
        <v>10</v>
      </c>
      <c r="D7" s="214"/>
      <c r="E7" s="214"/>
      <c r="F7" s="238"/>
      <c r="G7" s="239" t="s">
        <v>9</v>
      </c>
      <c r="H7" s="240"/>
      <c r="I7" s="237">
        <f>ABS(B7)</f>
        <v>93.44733162321937</v>
      </c>
      <c r="J7" s="214" t="s">
        <v>10</v>
      </c>
      <c r="K7" s="277" t="s">
        <v>11</v>
      </c>
      <c r="L7" s="214"/>
    </row>
    <row r="8" spans="1:12" ht="13.5">
      <c r="A8" s="214" t="s">
        <v>12</v>
      </c>
      <c r="B8" s="214" t="s">
        <v>13</v>
      </c>
      <c r="C8" s="241">
        <v>17.95</v>
      </c>
      <c r="D8" s="214" t="s">
        <v>10</v>
      </c>
      <c r="E8" s="214"/>
      <c r="F8" s="238"/>
      <c r="G8" s="239" t="s">
        <v>14</v>
      </c>
      <c r="H8" s="240"/>
      <c r="I8" s="278">
        <v>1</v>
      </c>
      <c r="J8" s="214" t="s">
        <v>10</v>
      </c>
      <c r="K8" s="279">
        <f>I9-B6</f>
        <v>18.865029621963174</v>
      </c>
      <c r="L8" s="214" t="s">
        <v>10</v>
      </c>
    </row>
    <row r="9" spans="1:12" ht="13.5">
      <c r="A9" s="214" t="s">
        <v>15</v>
      </c>
      <c r="B9" s="214" t="s">
        <v>16</v>
      </c>
      <c r="C9" s="242">
        <v>231.2</v>
      </c>
      <c r="D9" s="214" t="s">
        <v>10</v>
      </c>
      <c r="E9" s="214"/>
      <c r="F9" s="238"/>
      <c r="G9" s="239" t="s">
        <v>15</v>
      </c>
      <c r="H9" s="240"/>
      <c r="I9" s="280">
        <f>SQRT(C9^2+I8^2+2*I8*SQRT(C9^2-B7^2))</f>
        <v>232.11502962196317</v>
      </c>
      <c r="J9" s="214" t="s">
        <v>10</v>
      </c>
      <c r="K9" s="214"/>
      <c r="L9" s="214"/>
    </row>
    <row r="10" spans="1:12" ht="13.5">
      <c r="A10" s="214" t="s">
        <v>17</v>
      </c>
      <c r="B10" s="214" t="s">
        <v>18</v>
      </c>
      <c r="C10" s="243">
        <v>23.84</v>
      </c>
      <c r="D10" s="214" t="s">
        <v>19</v>
      </c>
      <c r="E10" s="214"/>
      <c r="F10" s="238"/>
      <c r="G10" s="239" t="s">
        <v>17</v>
      </c>
      <c r="H10" s="240"/>
      <c r="I10" s="280">
        <f>ASIN(I7/I9)*180/PI()</f>
        <v>23.74023030041011</v>
      </c>
      <c r="J10" s="238" t="s">
        <v>19</v>
      </c>
      <c r="K10" s="214"/>
      <c r="L10" s="214"/>
    </row>
    <row r="11" spans="1:12" ht="13.5">
      <c r="A11" s="244" t="s">
        <v>20</v>
      </c>
      <c r="B11" s="245">
        <f>C9*SIN(RADIANS(C10))-SQRT((C9*SIN(RADIANS(C10)))^2-(C9^2-(C9-C8)^2))</f>
        <v>65.97868972923526</v>
      </c>
      <c r="C11" s="245">
        <f>C9*SIN(RADIANS(C10))+SQRT((C9*SIN(RADIANS(C10)))^2-(C9^2-(C9-C8)^2))</f>
        <v>120.91597351720348</v>
      </c>
      <c r="D11" s="244" t="s">
        <v>10</v>
      </c>
      <c r="E11" s="244"/>
      <c r="F11" s="244"/>
      <c r="G11" s="246" t="s">
        <v>20</v>
      </c>
      <c r="H11" s="247">
        <f>I9*SIN(RADIANS(I10))-SQRT((I9*SIN(RADIANS(I10)))^2-(I9^2-B6^2))</f>
        <v>75.26549147720846</v>
      </c>
      <c r="I11" s="247">
        <f>I9*SIN(RADIANS(I10))+SQRT((I9*SIN(RADIANS(I10)))^2-(I9^2-B6^2))</f>
        <v>111.62917176923031</v>
      </c>
      <c r="J11" s="264" t="s">
        <v>10</v>
      </c>
      <c r="K11" s="244"/>
      <c r="L11" s="244"/>
    </row>
    <row r="12" spans="1:12" ht="13.5">
      <c r="A12" s="248" t="s">
        <v>21</v>
      </c>
      <c r="B12" s="249"/>
      <c r="C12" s="250">
        <f>MAXA(C17:C107)</f>
        <v>1.9194947677925072</v>
      </c>
      <c r="D12" s="251" t="s">
        <v>19</v>
      </c>
      <c r="E12" s="252" t="s">
        <v>22</v>
      </c>
      <c r="F12" s="253">
        <f>MAXA(E17:E107)</f>
        <v>0.011072434322795595</v>
      </c>
      <c r="G12" s="254" t="s">
        <v>21</v>
      </c>
      <c r="H12" s="255"/>
      <c r="I12" s="281">
        <f>MAXA(G17:G107)</f>
        <v>2.307191837655516</v>
      </c>
      <c r="J12" s="282" t="s">
        <v>19</v>
      </c>
      <c r="K12" s="282" t="s">
        <v>22</v>
      </c>
      <c r="L12" s="283">
        <f>MAXA(H17:H107)</f>
        <v>0.019796262746954736</v>
      </c>
    </row>
    <row r="13" spans="1:12" ht="13.5">
      <c r="A13" s="256" t="s">
        <v>21</v>
      </c>
      <c r="B13" s="257"/>
      <c r="C13" s="258">
        <f>MINA(C17:C107)</f>
        <v>-1.1136559772665144</v>
      </c>
      <c r="D13" s="259" t="s">
        <v>19</v>
      </c>
      <c r="E13" s="259"/>
      <c r="F13" s="259" t="s">
        <v>23</v>
      </c>
      <c r="G13" s="260" t="s">
        <v>21</v>
      </c>
      <c r="H13" s="261"/>
      <c r="I13" s="284">
        <f>MINA(G17:G107)</f>
        <v>-0.4805292827380967</v>
      </c>
      <c r="J13" s="285" t="s">
        <v>19</v>
      </c>
      <c r="K13" s="285"/>
      <c r="L13" s="286" t="s">
        <v>23</v>
      </c>
    </row>
    <row r="14" spans="1:7" ht="13.5">
      <c r="A14" s="214" t="s">
        <v>24</v>
      </c>
      <c r="B14" s="214"/>
      <c r="C14" s="214"/>
      <c r="D14" s="262" t="s">
        <v>25</v>
      </c>
      <c r="E14" s="263">
        <v>10</v>
      </c>
      <c r="F14" s="264" t="s">
        <v>26</v>
      </c>
      <c r="G14" s="265" t="s">
        <v>27</v>
      </c>
    </row>
    <row r="15" spans="1:8" ht="13.5">
      <c r="A15" s="214" t="s">
        <v>28</v>
      </c>
      <c r="B15" s="266"/>
      <c r="C15" s="266" t="s">
        <v>29</v>
      </c>
      <c r="D15" s="209" t="s">
        <v>30</v>
      </c>
      <c r="E15" s="238"/>
      <c r="F15" s="267"/>
      <c r="G15" s="266" t="s">
        <v>29</v>
      </c>
      <c r="H15" s="209" t="s">
        <v>30</v>
      </c>
    </row>
    <row r="16" spans="1:8" ht="23.25" customHeight="1">
      <c r="A16" s="268" t="s">
        <v>31</v>
      </c>
      <c r="B16" s="269" t="s">
        <v>32</v>
      </c>
      <c r="C16" s="270" t="s">
        <v>33</v>
      </c>
      <c r="D16" s="214"/>
      <c r="E16" s="271" t="s">
        <v>22</v>
      </c>
      <c r="F16" s="271"/>
      <c r="G16" s="270" t="s">
        <v>33</v>
      </c>
      <c r="H16" s="271" t="s">
        <v>22</v>
      </c>
    </row>
    <row r="17" spans="1:8" ht="13.5">
      <c r="A17" s="272">
        <v>57.5</v>
      </c>
      <c r="B17" s="273">
        <f aca="true" t="shared" si="0" ref="B17:B80">ASIN(A17/2/$C$9+$C$9/A17*($C$8/$C$9-0.5*($C$8/$C$9)*($C$8/$C$9)))*180/PI()</f>
        <v>25.113120377818756</v>
      </c>
      <c r="C17" s="274">
        <f>B17-$C$10</f>
        <v>1.2731203778187563</v>
      </c>
      <c r="D17" s="214"/>
      <c r="E17" s="275">
        <f>ABS(9*$E$14*TAN(C17*PI()/180)/(PI()*A17))</f>
        <v>0.011072434322795595</v>
      </c>
      <c r="F17" s="214"/>
      <c r="G17" s="276">
        <f>ASIN(A17/2/$I$9+$I$9/A17*($K$8/$I$9-0.5*($K$8/$I$9)*($K$8/$I$9)))*180/PI()-$I$10</f>
        <v>2.2753732948364664</v>
      </c>
      <c r="H17" s="275">
        <f aca="true" t="shared" si="1" ref="H17:H80">ABS(9*$E$14*TAN(G17*PI()/180)/(PI()*A17))</f>
        <v>0.019796262746954736</v>
      </c>
    </row>
    <row r="18" spans="1:8" ht="13.5">
      <c r="A18" s="272">
        <v>58</v>
      </c>
      <c r="B18" s="273">
        <f t="shared" si="0"/>
        <v>25.017901636904725</v>
      </c>
      <c r="C18" s="274">
        <f aca="true" t="shared" si="2" ref="C18:C81">B18-$C$10</f>
        <v>1.1779016369047248</v>
      </c>
      <c r="D18" s="214"/>
      <c r="E18" s="275">
        <f aca="true" t="shared" si="3" ref="E18:E81">ABS(9*$E$14*TAN(C18*PI()/180)/(PI()*A18))</f>
        <v>0.010155755246397566</v>
      </c>
      <c r="F18" s="214"/>
      <c r="G18" s="276">
        <f aca="true" t="shared" si="4" ref="G18:G81">ASIN(A18/2/$I$9+$I$9/A18*($K$8/$I$9-0.5*($K$8/$I$9)*($K$8/$I$9)))*180/PI()-$I$10</f>
        <v>2.1710925059382333</v>
      </c>
      <c r="H18" s="275">
        <f t="shared" si="1"/>
        <v>0.018725277842308537</v>
      </c>
    </row>
    <row r="19" spans="1:12" ht="13.5">
      <c r="A19" s="272">
        <v>59</v>
      </c>
      <c r="B19" s="273">
        <f t="shared" si="0"/>
        <v>24.83598872552454</v>
      </c>
      <c r="C19" s="274">
        <f t="shared" si="2"/>
        <v>0.9959887255245405</v>
      </c>
      <c r="D19" s="214"/>
      <c r="E19" s="275">
        <f t="shared" si="3"/>
        <v>0.008441432710023627</v>
      </c>
      <c r="F19" s="214"/>
      <c r="G19" s="276">
        <f t="shared" si="4"/>
        <v>1.971580188577878</v>
      </c>
      <c r="H19" s="275">
        <f t="shared" si="1"/>
        <v>0.0167149045042832</v>
      </c>
      <c r="I19" s="266"/>
      <c r="J19" s="214"/>
      <c r="K19" s="214"/>
      <c r="L19" s="214"/>
    </row>
    <row r="20" spans="1:12" ht="13.5">
      <c r="A20" s="272">
        <v>60</v>
      </c>
      <c r="B20" s="273">
        <f t="shared" si="0"/>
        <v>24.66493823927985</v>
      </c>
      <c r="C20" s="274">
        <f t="shared" si="2"/>
        <v>0.8249382392798488</v>
      </c>
      <c r="D20" s="214"/>
      <c r="E20" s="275">
        <f t="shared" si="3"/>
        <v>0.006874960391805249</v>
      </c>
      <c r="F20" s="214"/>
      <c r="G20" s="276">
        <f t="shared" si="4"/>
        <v>1.7835946582900526</v>
      </c>
      <c r="H20" s="275">
        <f t="shared" si="1"/>
        <v>0.014868091780506494</v>
      </c>
      <c r="I20" s="214"/>
      <c r="J20" s="287"/>
      <c r="L20" s="214"/>
    </row>
    <row r="21" spans="1:12" ht="13.5">
      <c r="A21" s="272">
        <v>61</v>
      </c>
      <c r="B21" s="273">
        <f t="shared" si="0"/>
        <v>24.50418344043622</v>
      </c>
      <c r="C21" s="274">
        <f t="shared" si="2"/>
        <v>0.6641834404362186</v>
      </c>
      <c r="D21" s="214"/>
      <c r="E21" s="275">
        <f t="shared" si="3"/>
        <v>0.005444370432494902</v>
      </c>
      <c r="F21" s="214"/>
      <c r="G21" s="276">
        <f t="shared" si="4"/>
        <v>1.6065299193935054</v>
      </c>
      <c r="H21" s="275">
        <f t="shared" si="1"/>
        <v>0.013171730074837348</v>
      </c>
      <c r="I21" s="214"/>
      <c r="J21" s="214"/>
      <c r="K21" s="214"/>
      <c r="L21" s="214"/>
    </row>
    <row r="22" spans="1:12" ht="13.5">
      <c r="A22" s="272">
        <v>62</v>
      </c>
      <c r="B22" s="273">
        <f t="shared" si="0"/>
        <v>24.35319719776773</v>
      </c>
      <c r="C22" s="274">
        <f t="shared" si="2"/>
        <v>0.513197197767731</v>
      </c>
      <c r="D22" s="214"/>
      <c r="E22" s="275">
        <f t="shared" si="3"/>
        <v>0.00413879776117043</v>
      </c>
      <c r="F22" s="214"/>
      <c r="G22" s="276">
        <f t="shared" si="4"/>
        <v>1.4398227080872381</v>
      </c>
      <c r="H22" s="275">
        <f t="shared" si="1"/>
        <v>0.011613918281766241</v>
      </c>
      <c r="I22" s="214"/>
      <c r="J22" s="214"/>
      <c r="K22" s="214"/>
      <c r="L22" s="214"/>
    </row>
    <row r="23" spans="1:12" ht="13.5">
      <c r="A23" s="272">
        <v>63</v>
      </c>
      <c r="B23" s="273">
        <f t="shared" si="0"/>
        <v>24.21148853772652</v>
      </c>
      <c r="C23" s="274">
        <f t="shared" si="2"/>
        <v>0.37148853772652046</v>
      </c>
      <c r="D23" s="214"/>
      <c r="E23" s="275">
        <f t="shared" si="3"/>
        <v>0.002948363042867972</v>
      </c>
      <c r="F23" s="214"/>
      <c r="G23" s="276">
        <f t="shared" si="4"/>
        <v>1.2829487313228363</v>
      </c>
      <c r="H23" s="275">
        <f t="shared" si="1"/>
        <v>0.010183834860361347</v>
      </c>
      <c r="I23" s="214"/>
      <c r="J23" s="214"/>
      <c r="K23" s="214"/>
      <c r="L23" s="214"/>
    </row>
    <row r="24" spans="1:12" ht="13.5">
      <c r="A24" s="272">
        <v>64</v>
      </c>
      <c r="B24" s="273">
        <f t="shared" si="0"/>
        <v>24.0785995551193</v>
      </c>
      <c r="C24" s="274">
        <f t="shared" si="2"/>
        <v>0.23859955511930053</v>
      </c>
      <c r="D24" s="214"/>
      <c r="E24" s="275">
        <f t="shared" si="3"/>
        <v>0.0018640697998194378</v>
      </c>
      <c r="F24" s="214"/>
      <c r="G24" s="276">
        <f t="shared" si="4"/>
        <v>1.1354193025621946</v>
      </c>
      <c r="H24" s="275">
        <f t="shared" si="1"/>
        <v>0.008871624644398406</v>
      </c>
      <c r="I24" s="214"/>
      <c r="J24" s="214"/>
      <c r="K24" s="214"/>
      <c r="L24" s="214"/>
    </row>
    <row r="25" spans="1:12" ht="13.5">
      <c r="A25" s="272">
        <v>65</v>
      </c>
      <c r="B25" s="273">
        <f t="shared" si="0"/>
        <v>23.954102639710868</v>
      </c>
      <c r="C25" s="274">
        <f t="shared" si="2"/>
        <v>0.1141026397108682</v>
      </c>
      <c r="D25" s="214"/>
      <c r="E25" s="275">
        <f t="shared" si="3"/>
        <v>0.0008777137734808299</v>
      </c>
      <c r="F25" s="214"/>
      <c r="G25" s="276">
        <f t="shared" si="4"/>
        <v>0.996778325653235</v>
      </c>
      <c r="H25" s="275">
        <f t="shared" si="1"/>
        <v>0.007668299221146414</v>
      </c>
      <c r="I25" s="214"/>
      <c r="J25" s="214"/>
      <c r="K25" s="214"/>
      <c r="L25" s="214"/>
    </row>
    <row r="26" spans="1:12" ht="13.5">
      <c r="A26" s="272">
        <v>66</v>
      </c>
      <c r="B26" s="273">
        <f t="shared" si="0"/>
        <v>23.83759798118754</v>
      </c>
      <c r="C26" s="274">
        <f t="shared" si="2"/>
        <v>-0.0024020188124609376</v>
      </c>
      <c r="D26" s="214"/>
      <c r="E26" s="275">
        <f t="shared" si="3"/>
        <v>1.8197112226273937E-05</v>
      </c>
      <c r="F26" s="214"/>
      <c r="G26" s="276">
        <f t="shared" si="4"/>
        <v>0.8665995848847068</v>
      </c>
      <c r="H26" s="275">
        <f t="shared" si="1"/>
        <v>0.006565649043972984</v>
      </c>
      <c r="I26" s="214"/>
      <c r="J26" s="214"/>
      <c r="K26" s="214"/>
      <c r="L26" s="214"/>
    </row>
    <row r="27" spans="1:12" ht="13.5">
      <c r="A27" s="272">
        <v>67</v>
      </c>
      <c r="B27" s="273">
        <f t="shared" si="0"/>
        <v>23.728711319998247</v>
      </c>
      <c r="C27" s="274">
        <f t="shared" si="2"/>
        <v>-0.11128868000175274</v>
      </c>
      <c r="D27" s="214"/>
      <c r="E27" s="275">
        <f t="shared" si="3"/>
        <v>0.0008305135817636636</v>
      </c>
      <c r="F27" s="214"/>
      <c r="G27" s="276">
        <f t="shared" si="4"/>
        <v>0.7444843050379006</v>
      </c>
      <c r="H27" s="275">
        <f t="shared" si="1"/>
        <v>0.005556165720346222</v>
      </c>
      <c r="I27" s="214"/>
      <c r="J27" s="214"/>
      <c r="K27" s="214"/>
      <c r="L27" s="214"/>
    </row>
    <row r="28" spans="1:12" ht="13.5">
      <c r="A28" s="272">
        <v>68</v>
      </c>
      <c r="B28" s="273">
        <f t="shared" si="0"/>
        <v>23.627091915904806</v>
      </c>
      <c r="C28" s="274">
        <f t="shared" si="2"/>
        <v>-0.21290808409519357</v>
      </c>
      <c r="D28" s="214"/>
      <c r="E28" s="275">
        <f t="shared" si="3"/>
        <v>0.001565507824001377</v>
      </c>
      <c r="F28" s="214"/>
      <c r="G28" s="276">
        <f t="shared" si="4"/>
        <v>0.6300589501249583</v>
      </c>
      <c r="H28" s="275">
        <f t="shared" si="1"/>
        <v>0.004632973147343193</v>
      </c>
      <c r="I28" s="214"/>
      <c r="J28" s="214"/>
      <c r="K28" s="214"/>
      <c r="L28" s="214"/>
    </row>
    <row r="29" spans="1:12" ht="13.5">
      <c r="A29" s="272">
        <v>69</v>
      </c>
      <c r="B29" s="273">
        <f t="shared" si="0"/>
        <v>23.532410709745484</v>
      </c>
      <c r="C29" s="274">
        <f t="shared" si="2"/>
        <v>-0.30758929025451565</v>
      </c>
      <c r="D29" s="214"/>
      <c r="E29" s="275">
        <f t="shared" si="3"/>
        <v>0.0022289293131738403</v>
      </c>
      <c r="F29" s="214"/>
      <c r="G29" s="276">
        <f t="shared" si="4"/>
        <v>0.5229732336398563</v>
      </c>
      <c r="H29" s="275">
        <f t="shared" si="1"/>
        <v>0.0037897663597330246</v>
      </c>
      <c r="I29" s="214"/>
      <c r="J29" s="214"/>
      <c r="K29" s="214"/>
      <c r="L29" s="214"/>
    </row>
    <row r="30" spans="1:12" ht="13.5">
      <c r="A30" s="272">
        <v>70</v>
      </c>
      <c r="B30" s="273">
        <f t="shared" si="0"/>
        <v>23.444358657052785</v>
      </c>
      <c r="C30" s="274">
        <f t="shared" si="2"/>
        <v>-0.395641342947215</v>
      </c>
      <c r="D30" s="214"/>
      <c r="E30" s="275">
        <f t="shared" si="3"/>
        <v>0.0028260545103062835</v>
      </c>
      <c r="F30" s="214"/>
      <c r="G30" s="276">
        <f t="shared" si="4"/>
        <v>0.422898316672601</v>
      </c>
      <c r="H30" s="275">
        <f t="shared" si="1"/>
        <v>0.0030207571177755872</v>
      </c>
      <c r="I30" s="214"/>
      <c r="J30" s="214"/>
      <c r="K30" s="214"/>
      <c r="L30" s="214"/>
    </row>
    <row r="31" spans="1:12" ht="13.5">
      <c r="A31" s="272">
        <v>71</v>
      </c>
      <c r="B31" s="273">
        <f t="shared" si="0"/>
        <v>23.362645214853003</v>
      </c>
      <c r="C31" s="274">
        <f t="shared" si="2"/>
        <v>-0.47735478514699636</v>
      </c>
      <c r="D31" s="214"/>
      <c r="E31" s="275">
        <f t="shared" si="3"/>
        <v>0.0033617311988737644</v>
      </c>
      <c r="F31" s="214"/>
      <c r="G31" s="276">
        <f t="shared" si="4"/>
        <v>0.3295251732490243</v>
      </c>
      <c r="H31" s="275">
        <f t="shared" si="1"/>
        <v>0.002320625398454023</v>
      </c>
      <c r="I31" s="214"/>
      <c r="J31" s="214"/>
      <c r="K31" s="214"/>
      <c r="L31" s="214"/>
    </row>
    <row r="32" spans="1:12" ht="13.5">
      <c r="A32" s="272">
        <v>72</v>
      </c>
      <c r="B32" s="273">
        <f t="shared" si="0"/>
        <v>23.286996965283926</v>
      </c>
      <c r="C32" s="274">
        <f t="shared" si="2"/>
        <v>-0.5530030347160739</v>
      </c>
      <c r="D32" s="214"/>
      <c r="E32" s="275">
        <f t="shared" si="3"/>
        <v>0.003840418105305354</v>
      </c>
      <c r="F32" s="214"/>
      <c r="G32" s="276">
        <f t="shared" si="4"/>
        <v>0.24256310484120291</v>
      </c>
      <c r="H32" s="275">
        <f t="shared" si="1"/>
        <v>0.0016844760693250026</v>
      </c>
      <c r="I32" s="214"/>
      <c r="J32" s="214"/>
      <c r="K32" s="214"/>
      <c r="L32" s="214"/>
    </row>
    <row r="33" spans="1:12" ht="13.5">
      <c r="A33" s="272">
        <v>73</v>
      </c>
      <c r="B33" s="273">
        <f t="shared" si="0"/>
        <v>23.217156361655977</v>
      </c>
      <c r="C33" s="274">
        <f t="shared" si="2"/>
        <v>-0.6228436383440226</v>
      </c>
      <c r="D33" s="214"/>
      <c r="E33" s="275">
        <f t="shared" si="3"/>
        <v>0.004266220367322572</v>
      </c>
      <c r="F33" s="214"/>
      <c r="G33" s="276">
        <f t="shared" si="4"/>
        <v>0.1617383882136103</v>
      </c>
      <c r="H33" s="275">
        <f t="shared" si="1"/>
        <v>0.001107800122078273</v>
      </c>
      <c r="I33" s="214"/>
      <c r="J33" s="214"/>
      <c r="K33" s="214"/>
      <c r="L33" s="214"/>
    </row>
    <row r="34" spans="1:12" ht="13.5">
      <c r="A34" s="272">
        <v>74</v>
      </c>
      <c r="B34" s="273">
        <f t="shared" si="0"/>
        <v>23.15288058430042</v>
      </c>
      <c r="C34" s="274">
        <f t="shared" si="2"/>
        <v>-0.6871194156995806</v>
      </c>
      <c r="D34" s="214"/>
      <c r="E34" s="275">
        <f t="shared" si="3"/>
        <v>0.004642921338454454</v>
      </c>
      <c r="F34" s="214"/>
      <c r="G34" s="276">
        <f t="shared" si="4"/>
        <v>0.08679304268435928</v>
      </c>
      <c r="H34" s="275">
        <f t="shared" si="1"/>
        <v>0.0005864399261635926</v>
      </c>
      <c r="I34" s="214"/>
      <c r="J34" s="214"/>
      <c r="K34" s="214"/>
      <c r="L34" s="214"/>
    </row>
    <row r="35" spans="1:12" ht="13.5">
      <c r="A35" s="272">
        <v>75</v>
      </c>
      <c r="B35" s="273">
        <f t="shared" si="0"/>
        <v>23.093940495036836</v>
      </c>
      <c r="C35" s="274">
        <f t="shared" si="2"/>
        <v>-0.7460595049631635</v>
      </c>
      <c r="D35" s="214"/>
      <c r="E35" s="275">
        <f t="shared" si="3"/>
        <v>0.004974011153305019</v>
      </c>
      <c r="F35" s="214"/>
      <c r="G35" s="276">
        <f t="shared" si="4"/>
        <v>0.01748370453628567</v>
      </c>
      <c r="H35" s="275">
        <f t="shared" si="1"/>
        <v>0.0001165580338596883</v>
      </c>
      <c r="I35" s="214"/>
      <c r="J35" s="214"/>
      <c r="K35" s="214"/>
      <c r="L35" s="214"/>
    </row>
    <row r="36" spans="1:12" ht="13.5">
      <c r="A36" s="272">
        <v>76</v>
      </c>
      <c r="B36" s="273">
        <f t="shared" si="0"/>
        <v>23.040119680384397</v>
      </c>
      <c r="C36" s="274">
        <f t="shared" si="2"/>
        <v>-0.7998803196156032</v>
      </c>
      <c r="D36" s="214"/>
      <c r="E36" s="275">
        <f t="shared" si="3"/>
        <v>0.005262712423538504</v>
      </c>
      <c r="F36" s="214"/>
      <c r="G36" s="276">
        <f t="shared" si="4"/>
        <v>-0.046419402252986686</v>
      </c>
      <c r="H36" s="275">
        <f t="shared" si="1"/>
        <v>0.00030539087111322127</v>
      </c>
      <c r="I36" s="214"/>
      <c r="J36" s="214"/>
      <c r="K36" s="214"/>
      <c r="L36" s="214"/>
    </row>
    <row r="37" spans="1:12" ht="13.5">
      <c r="A37" s="272">
        <v>77</v>
      </c>
      <c r="B37" s="273">
        <f t="shared" si="0"/>
        <v>22.99121357476662</v>
      </c>
      <c r="C37" s="274">
        <f t="shared" si="2"/>
        <v>-0.8487864252333814</v>
      </c>
      <c r="D37" s="214"/>
      <c r="E37" s="275">
        <f t="shared" si="3"/>
        <v>0.005512003387655571</v>
      </c>
      <c r="F37" s="214"/>
      <c r="G37" s="276">
        <f t="shared" si="4"/>
        <v>-0.1051334085462905</v>
      </c>
      <c r="H37" s="275">
        <f t="shared" si="1"/>
        <v>0.0006826852372682205</v>
      </c>
      <c r="I37" s="214"/>
      <c r="J37" s="214"/>
      <c r="K37" s="214"/>
      <c r="L37" s="214"/>
    </row>
    <row r="38" spans="1:12" ht="13.5">
      <c r="A38" s="272">
        <v>78</v>
      </c>
      <c r="B38" s="273">
        <f t="shared" si="0"/>
        <v>22.947028655940702</v>
      </c>
      <c r="C38" s="274">
        <f t="shared" si="2"/>
        <v>-0.8929713440592977</v>
      </c>
      <c r="D38" s="214"/>
      <c r="E38" s="275">
        <f t="shared" si="3"/>
        <v>0.005724638797276084</v>
      </c>
      <c r="F38" s="214"/>
      <c r="G38" s="276">
        <f t="shared" si="4"/>
        <v>-0.1588636643456276</v>
      </c>
      <c r="H38" s="275">
        <f t="shared" si="1"/>
        <v>0.0010183594323884783</v>
      </c>
      <c r="I38" s="214"/>
      <c r="J38" s="214"/>
      <c r="K38" s="214"/>
      <c r="L38" s="214"/>
    </row>
    <row r="39" spans="1:12" ht="13.5">
      <c r="A39" s="272">
        <v>79</v>
      </c>
      <c r="B39" s="273">
        <f t="shared" si="0"/>
        <v>22.907381705741045</v>
      </c>
      <c r="C39" s="274">
        <f t="shared" si="2"/>
        <v>-0.9326182942589547</v>
      </c>
      <c r="D39" s="214"/>
      <c r="E39" s="275">
        <f t="shared" si="3"/>
        <v>0.005903168787823533</v>
      </c>
      <c r="F39" s="214"/>
      <c r="G39" s="276">
        <f t="shared" si="4"/>
        <v>-0.20780453240475083</v>
      </c>
      <c r="H39" s="275">
        <f t="shared" si="1"/>
        <v>0.0013152243264410684</v>
      </c>
      <c r="I39" s="214"/>
      <c r="J39" s="214"/>
      <c r="K39" s="214"/>
      <c r="L39" s="214"/>
    </row>
    <row r="40" spans="1:12" ht="13.5">
      <c r="A40" s="272">
        <v>80</v>
      </c>
      <c r="B40" s="273">
        <f t="shared" si="0"/>
        <v>22.87209912997847</v>
      </c>
      <c r="C40" s="274">
        <f t="shared" si="2"/>
        <v>-0.9679008700215306</v>
      </c>
      <c r="D40" s="214"/>
      <c r="E40" s="275">
        <f t="shared" si="3"/>
        <v>0.006049955951400556</v>
      </c>
      <c r="F40" s="214"/>
      <c r="G40" s="276">
        <f t="shared" si="4"/>
        <v>-0.2521401178761664</v>
      </c>
      <c r="H40" s="275">
        <f t="shared" si="1"/>
        <v>0.0015758859095778156</v>
      </c>
      <c r="I40" s="214"/>
      <c r="J40" s="214"/>
      <c r="K40" s="214"/>
      <c r="L40" s="214"/>
    </row>
    <row r="41" spans="1:12" ht="13.5">
      <c r="A41" s="272">
        <v>81</v>
      </c>
      <c r="B41" s="273">
        <f t="shared" si="0"/>
        <v>22.841016331997483</v>
      </c>
      <c r="C41" s="274">
        <f t="shared" si="2"/>
        <v>-0.9989836680025164</v>
      </c>
      <c r="D41" s="214"/>
      <c r="E41" s="275">
        <f t="shared" si="3"/>
        <v>0.0061671908035528635</v>
      </c>
      <c r="F41" s="214"/>
      <c r="G41" s="276">
        <f t="shared" si="4"/>
        <v>-0.2920449399858782</v>
      </c>
      <c r="H41" s="275">
        <f t="shared" si="1"/>
        <v>0.001802762155607818</v>
      </c>
      <c r="I41" s="214"/>
      <c r="J41" s="214"/>
      <c r="K41" s="214"/>
      <c r="L41" s="214"/>
    </row>
    <row r="42" spans="1:12" ht="13.5">
      <c r="A42" s="272">
        <v>82</v>
      </c>
      <c r="B42" s="273">
        <f t="shared" si="0"/>
        <v>22.81397713497476</v>
      </c>
      <c r="C42" s="274">
        <f t="shared" si="2"/>
        <v>-1.02602286502524</v>
      </c>
      <c r="D42" s="214"/>
      <c r="E42" s="275">
        <f t="shared" si="3"/>
        <v>0.006256905812964101</v>
      </c>
      <c r="F42" s="214"/>
      <c r="G42" s="276">
        <f t="shared" si="4"/>
        <v>-0.3276845510898525</v>
      </c>
      <c r="H42" s="275">
        <f t="shared" si="1"/>
        <v>0.0019980983163191313</v>
      </c>
      <c r="I42" s="214"/>
      <c r="J42" s="214"/>
      <c r="K42" s="214"/>
      <c r="L42" s="214"/>
    </row>
    <row r="43" spans="1:12" ht="13.5">
      <c r="A43" s="272">
        <v>83</v>
      </c>
      <c r="B43" s="273">
        <f t="shared" si="0"/>
        <v>22.79083324855484</v>
      </c>
      <c r="C43" s="274">
        <f t="shared" si="2"/>
        <v>-1.04916675144516</v>
      </c>
      <c r="D43" s="214"/>
      <c r="E43" s="275">
        <f t="shared" si="3"/>
        <v>0.006320988143405347</v>
      </c>
      <c r="F43" s="214"/>
      <c r="G43" s="276">
        <f t="shared" si="4"/>
        <v>-0.35921610790312997</v>
      </c>
      <c r="H43" s="275">
        <f t="shared" si="1"/>
        <v>0.0021639808102877135</v>
      </c>
      <c r="I43" s="214"/>
      <c r="J43" s="214"/>
      <c r="K43" s="214"/>
      <c r="L43" s="214"/>
    </row>
    <row r="44" spans="1:12" ht="13.5">
      <c r="A44" s="272">
        <v>84</v>
      </c>
      <c r="B44" s="273">
        <f t="shared" si="0"/>
        <v>22.771443775871422</v>
      </c>
      <c r="C44" s="274">
        <f t="shared" si="2"/>
        <v>-1.068556224128578</v>
      </c>
      <c r="D44" s="214"/>
      <c r="E44" s="275">
        <f t="shared" si="3"/>
        <v>0.006361191240074186</v>
      </c>
      <c r="F44" s="214"/>
      <c r="G44" s="276">
        <f t="shared" si="4"/>
        <v>-0.3867888991963362</v>
      </c>
      <c r="H44" s="275">
        <f t="shared" si="1"/>
        <v>0.002302349850878472</v>
      </c>
      <c r="I44" s="214"/>
      <c r="J44" s="214"/>
      <c r="K44" s="214"/>
      <c r="L44" s="214"/>
    </row>
    <row r="45" spans="1:12" ht="13.5">
      <c r="A45" s="272">
        <v>85</v>
      </c>
      <c r="B45" s="273">
        <f t="shared" si="0"/>
        <v>22.75567475740331</v>
      </c>
      <c r="C45" s="274">
        <f t="shared" si="2"/>
        <v>-1.084325242596691</v>
      </c>
      <c r="D45" s="214"/>
      <c r="E45" s="275">
        <f t="shared" si="3"/>
        <v>0.0063791453774391165</v>
      </c>
      <c r="F45" s="214"/>
      <c r="G45" s="276">
        <f t="shared" si="4"/>
        <v>-0.4105448338149067</v>
      </c>
      <c r="H45" s="275">
        <f t="shared" si="1"/>
        <v>0.0024150109416130635</v>
      </c>
      <c r="I45" s="214"/>
      <c r="J45" s="214"/>
      <c r="K45" s="214"/>
      <c r="L45" s="214"/>
    </row>
    <row r="46" spans="1:12" ht="13.5">
      <c r="A46" s="272">
        <v>86</v>
      </c>
      <c r="B46" s="273">
        <f t="shared" si="0"/>
        <v>22.743398748469236</v>
      </c>
      <c r="C46" s="274">
        <f t="shared" si="2"/>
        <v>-1.096601251530764</v>
      </c>
      <c r="D46" s="214"/>
      <c r="E46" s="275">
        <f t="shared" si="3"/>
        <v>0.0063763672725610935</v>
      </c>
      <c r="F46" s="214"/>
      <c r="G46" s="276">
        <f t="shared" si="4"/>
        <v>-0.43061889248805585</v>
      </c>
      <c r="H46" s="275">
        <f t="shared" si="1"/>
        <v>0.0025036453526290758</v>
      </c>
      <c r="I46" s="214"/>
      <c r="J46" s="214"/>
      <c r="K46" s="214"/>
      <c r="L46" s="214"/>
    </row>
    <row r="47" spans="1:12" ht="13.5">
      <c r="A47" s="272">
        <v>87</v>
      </c>
      <c r="B47" s="273">
        <f t="shared" si="0"/>
        <v>22.734494427481035</v>
      </c>
      <c r="C47" s="274">
        <f t="shared" si="2"/>
        <v>-1.1055055725189646</v>
      </c>
      <c r="D47" s="214"/>
      <c r="E47" s="275">
        <f t="shared" si="3"/>
        <v>0.006354268856339584</v>
      </c>
      <c r="F47" s="214"/>
      <c r="G47" s="276">
        <f t="shared" si="4"/>
        <v>-0.44713954654952204</v>
      </c>
      <c r="H47" s="275">
        <f t="shared" si="1"/>
        <v>0.002569819679292315</v>
      </c>
      <c r="I47" s="214"/>
      <c r="J47" s="214"/>
      <c r="K47" s="214"/>
      <c r="L47" s="214"/>
    </row>
    <row r="48" spans="1:12" ht="13.5">
      <c r="A48" s="272">
        <v>88</v>
      </c>
      <c r="B48" s="273">
        <f t="shared" si="0"/>
        <v>22.7288462323553</v>
      </c>
      <c r="C48" s="274">
        <f t="shared" si="2"/>
        <v>-1.1111537676447014</v>
      </c>
      <c r="D48" s="214"/>
      <c r="E48" s="275">
        <f t="shared" si="3"/>
        <v>0.00631416528500686</v>
      </c>
      <c r="F48" s="214"/>
      <c r="G48" s="276">
        <f t="shared" si="4"/>
        <v>-0.4602291463857746</v>
      </c>
      <c r="H48" s="275">
        <f t="shared" si="1"/>
        <v>0.002614994572911483</v>
      </c>
      <c r="I48" s="214"/>
      <c r="J48" s="214"/>
      <c r="K48" s="214"/>
      <c r="L48" s="214"/>
    </row>
    <row r="49" spans="1:12" ht="13.5">
      <c r="A49" s="272">
        <v>89</v>
      </c>
      <c r="B49" s="273">
        <f t="shared" si="0"/>
        <v>22.726344022733485</v>
      </c>
      <c r="C49" s="274">
        <f t="shared" si="2"/>
        <v>-1.1136559772665144</v>
      </c>
      <c r="D49" s="214"/>
      <c r="E49" s="275">
        <f t="shared" si="3"/>
        <v>0.006257282265288527</v>
      </c>
      <c r="F49" s="214"/>
      <c r="G49" s="276">
        <f t="shared" si="4"/>
        <v>-0.4700042821547328</v>
      </c>
      <c r="H49" s="275">
        <f t="shared" si="1"/>
        <v>0.0026405327237347086</v>
      </c>
      <c r="I49" s="214"/>
      <c r="J49" s="214"/>
      <c r="K49" s="214"/>
      <c r="L49" s="214"/>
    </row>
    <row r="50" spans="1:12" ht="13.5">
      <c r="A50" s="272">
        <v>90</v>
      </c>
      <c r="B50" s="273">
        <f t="shared" si="0"/>
        <v>22.72688276588364</v>
      </c>
      <c r="C50" s="274">
        <f t="shared" si="2"/>
        <v>-1.113117234116359</v>
      </c>
      <c r="D50" s="214"/>
      <c r="E50" s="275">
        <f t="shared" si="3"/>
        <v>0.006184762758798104</v>
      </c>
      <c r="F50" s="214"/>
      <c r="G50" s="276">
        <f t="shared" si="4"/>
        <v>-0.47657611907472486</v>
      </c>
      <c r="H50" s="275">
        <f t="shared" si="1"/>
        <v>0.0026477061678017626</v>
      </c>
      <c r="I50" s="214"/>
      <c r="J50" s="214"/>
      <c r="K50" s="214"/>
      <c r="L50" s="214"/>
    </row>
    <row r="51" spans="1:12" ht="13.5">
      <c r="A51" s="272">
        <v>91</v>
      </c>
      <c r="B51" s="273">
        <f t="shared" si="0"/>
        <v>22.730362244356115</v>
      </c>
      <c r="C51" s="274">
        <f t="shared" si="2"/>
        <v>-1.1096377556438846</v>
      </c>
      <c r="D51" s="214"/>
      <c r="E51" s="275">
        <f t="shared" si="3"/>
        <v>0.006097673124305478</v>
      </c>
      <c r="F51" s="214"/>
      <c r="G51" s="276">
        <f t="shared" si="4"/>
        <v>-0.4800507093667221</v>
      </c>
      <c r="H51" s="275">
        <f t="shared" si="1"/>
        <v>0.0026377029816377195</v>
      </c>
      <c r="I51" s="214"/>
      <c r="J51" s="214"/>
      <c r="K51" s="214"/>
      <c r="L51" s="214"/>
    </row>
    <row r="52" spans="1:12" ht="13.5">
      <c r="A52" s="272">
        <v>92</v>
      </c>
      <c r="B52" s="273">
        <f t="shared" si="0"/>
        <v>22.736686783644124</v>
      </c>
      <c r="C52" s="274">
        <f t="shared" si="2"/>
        <v>-1.1033132163558754</v>
      </c>
      <c r="D52" s="214"/>
      <c r="E52" s="275">
        <f t="shared" si="3"/>
        <v>0.005997008750393418</v>
      </c>
      <c r="F52" s="214"/>
      <c r="G52" s="276">
        <f t="shared" si="4"/>
        <v>-0.4805292827380967</v>
      </c>
      <c r="H52" s="275">
        <f t="shared" si="1"/>
        <v>0.0026116334220637966</v>
      </c>
      <c r="I52" s="214"/>
      <c r="J52" s="214"/>
      <c r="K52" s="214"/>
      <c r="L52" s="214"/>
    </row>
    <row r="53" spans="1:12" ht="13.5">
      <c r="A53" s="272">
        <v>93</v>
      </c>
      <c r="B53" s="273">
        <f t="shared" si="0"/>
        <v>22.745764998260093</v>
      </c>
      <c r="C53" s="274">
        <f t="shared" si="2"/>
        <v>-1.0942350017399072</v>
      </c>
      <c r="D53" s="214"/>
      <c r="E53" s="275">
        <f t="shared" si="3"/>
        <v>0.005883699225591604</v>
      </c>
      <c r="F53" s="214"/>
      <c r="G53" s="276">
        <f t="shared" si="4"/>
        <v>-0.4781085171230828</v>
      </c>
      <c r="H53" s="275">
        <f t="shared" si="1"/>
        <v>0.002570535562471057</v>
      </c>
      <c r="I53" s="214"/>
      <c r="J53" s="214"/>
      <c r="K53" s="214"/>
      <c r="L53" s="214"/>
    </row>
    <row r="54" spans="1:12" ht="13.5">
      <c r="A54" s="272">
        <v>94</v>
      </c>
      <c r="B54" s="273">
        <f t="shared" si="0"/>
        <v>22.757509554782086</v>
      </c>
      <c r="C54" s="274">
        <f t="shared" si="2"/>
        <v>-1.082490445217914</v>
      </c>
      <c r="D54" s="214"/>
      <c r="E54" s="275">
        <f t="shared" si="3"/>
        <v>0.0057586130882692965</v>
      </c>
      <c r="F54" s="214"/>
      <c r="G54" s="276">
        <f t="shared" si="4"/>
        <v>-0.47288079123847737</v>
      </c>
      <c r="H54" s="275">
        <f t="shared" si="1"/>
        <v>0.002515380471639167</v>
      </c>
      <c r="I54" s="214"/>
      <c r="J54" s="214"/>
      <c r="K54" s="214"/>
      <c r="L54" s="214"/>
    </row>
    <row r="55" spans="1:12" ht="13.5">
      <c r="A55" s="272">
        <v>95</v>
      </c>
      <c r="B55" s="273">
        <f t="shared" si="0"/>
        <v>22.771836950553798</v>
      </c>
      <c r="C55" s="274">
        <f t="shared" si="2"/>
        <v>-1.068163049446202</v>
      </c>
      <c r="D55" s="214"/>
      <c r="E55" s="275">
        <f t="shared" si="3"/>
        <v>0.0056225621942962165</v>
      </c>
      <c r="F55" s="214"/>
      <c r="G55" s="276">
        <f t="shared" si="4"/>
        <v>-0.4649344203733783</v>
      </c>
      <c r="H55" s="275">
        <f t="shared" si="1"/>
        <v>0.002447076976516139</v>
      </c>
      <c r="I55" s="214"/>
      <c r="J55" s="214"/>
      <c r="K55" s="214"/>
      <c r="L55" s="214"/>
    </row>
    <row r="56" spans="1:12" ht="13.5">
      <c r="A56" s="272">
        <v>96</v>
      </c>
      <c r="B56" s="273">
        <f t="shared" si="0"/>
        <v>22.788667306837862</v>
      </c>
      <c r="C56" s="274">
        <f t="shared" si="2"/>
        <v>-1.0513326931621378</v>
      </c>
      <c r="D56" s="214"/>
      <c r="E56" s="275">
        <f t="shared" si="3"/>
        <v>0.005476305736682343</v>
      </c>
      <c r="F56" s="214"/>
      <c r="G56" s="276">
        <f t="shared" si="4"/>
        <v>-0.4543538767059303</v>
      </c>
      <c r="H56" s="275">
        <f t="shared" si="1"/>
        <v>0.0023664760462265137</v>
      </c>
      <c r="I56" s="214"/>
      <c r="J56" s="214"/>
      <c r="K56" s="214"/>
      <c r="L56" s="214"/>
    </row>
    <row r="57" spans="1:12" ht="13.5">
      <c r="A57" s="272">
        <v>97</v>
      </c>
      <c r="B57" s="273">
        <f t="shared" si="0"/>
        <v>22.807924175326512</v>
      </c>
      <c r="C57" s="274">
        <f t="shared" si="2"/>
        <v>-1.0320758246734876</v>
      </c>
      <c r="D57" s="214"/>
      <c r="E57" s="275">
        <f t="shared" si="3"/>
        <v>0.0053205539480276716</v>
      </c>
      <c r="F57" s="214"/>
      <c r="G57" s="276">
        <f t="shared" si="4"/>
        <v>-0.4412199953261968</v>
      </c>
      <c r="H57" s="275">
        <f t="shared" si="1"/>
        <v>0.0022743748308802977</v>
      </c>
      <c r="I57" s="214"/>
      <c r="J57" s="214"/>
      <c r="K57" s="214"/>
      <c r="L57" s="214"/>
    </row>
    <row r="58" spans="1:12" ht="13.5">
      <c r="A58" s="272">
        <v>98</v>
      </c>
      <c r="B58" s="273">
        <f t="shared" si="0"/>
        <v>22.829534357008775</v>
      </c>
      <c r="C58" s="274">
        <f t="shared" si="2"/>
        <v>-1.0104656429912247</v>
      </c>
      <c r="D58" s="214"/>
      <c r="E58" s="275">
        <f t="shared" si="3"/>
        <v>0.005155971513593622</v>
      </c>
      <c r="F58" s="214"/>
      <c r="G58" s="276">
        <f t="shared" si="4"/>
        <v>-0.42561016704234333</v>
      </c>
      <c r="H58" s="275">
        <f t="shared" si="1"/>
        <v>0.0021715203854653733</v>
      </c>
      <c r="I58" s="214"/>
      <c r="J58" s="214"/>
      <c r="K58" s="214"/>
      <c r="L58" s="214"/>
    </row>
    <row r="59" spans="1:12" ht="13.5">
      <c r="A59" s="272">
        <v>99</v>
      </c>
      <c r="B59" s="273">
        <f t="shared" si="0"/>
        <v>22.85342773247795</v>
      </c>
      <c r="C59" s="274">
        <f t="shared" si="2"/>
        <v>-0.9865722675220496</v>
      </c>
      <c r="D59" s="214"/>
      <c r="E59" s="275">
        <f t="shared" si="3"/>
        <v>0.004983180720119403</v>
      </c>
      <c r="F59" s="214"/>
      <c r="G59" s="276">
        <f t="shared" si="4"/>
        <v>-0.40759851895485255</v>
      </c>
      <c r="H59" s="275">
        <f t="shared" si="1"/>
        <v>0.002058613106168107</v>
      </c>
      <c r="I59" s="214"/>
      <c r="J59" s="214"/>
      <c r="K59" s="214"/>
      <c r="L59" s="214"/>
    </row>
    <row r="60" spans="1:12" ht="13.5">
      <c r="A60" s="272">
        <v>100</v>
      </c>
      <c r="B60" s="273">
        <f t="shared" si="0"/>
        <v>22.879537102840967</v>
      </c>
      <c r="C60" s="274">
        <f t="shared" si="2"/>
        <v>-0.960462897159033</v>
      </c>
      <c r="D60" s="214"/>
      <c r="E60" s="275">
        <f t="shared" si="3"/>
        <v>0.004802764363096561</v>
      </c>
      <c r="F60" s="214"/>
      <c r="G60" s="276">
        <f t="shared" si="4"/>
        <v>-0.387256083699949</v>
      </c>
      <c r="H60" s="275">
        <f t="shared" si="1"/>
        <v>0.0019363099038416554</v>
      </c>
      <c r="I60" s="214"/>
      <c r="J60" s="214"/>
      <c r="K60" s="214"/>
      <c r="L60" s="214"/>
    </row>
    <row r="61" spans="1:12" ht="13.5">
      <c r="A61" s="272">
        <v>101</v>
      </c>
      <c r="B61" s="273">
        <f t="shared" si="0"/>
        <v>22.907798040460772</v>
      </c>
      <c r="C61" s="274">
        <f t="shared" si="2"/>
        <v>-0.9322019595392277</v>
      </c>
      <c r="D61" s="214"/>
      <c r="E61" s="275">
        <f t="shared" si="3"/>
        <v>0.004615268433062431</v>
      </c>
      <c r="F61" s="214"/>
      <c r="G61" s="276">
        <f t="shared" si="4"/>
        <v>-0.36465095818783055</v>
      </c>
      <c r="H61" s="275">
        <f t="shared" si="1"/>
        <v>0.0018052271369928138</v>
      </c>
      <c r="I61" s="214"/>
      <c r="J61" s="214"/>
      <c r="K61" s="214"/>
      <c r="L61" s="214"/>
    </row>
    <row r="62" spans="1:12" ht="13.5">
      <c r="A62" s="272">
        <v>102</v>
      </c>
      <c r="B62" s="273">
        <f t="shared" si="0"/>
        <v>22.9381487488265</v>
      </c>
      <c r="C62" s="274">
        <f t="shared" si="2"/>
        <v>-0.9018512511735004</v>
      </c>
      <c r="D62" s="214"/>
      <c r="E62" s="275">
        <f t="shared" si="3"/>
        <v>0.004421204599541702</v>
      </c>
      <c r="F62" s="214"/>
      <c r="G62" s="276">
        <f t="shared" si="4"/>
        <v>-0.3398484525930847</v>
      </c>
      <c r="H62" s="275">
        <f t="shared" si="1"/>
        <v>0.0016659433245556478</v>
      </c>
      <c r="I62" s="214"/>
      <c r="J62" s="214"/>
      <c r="K62" s="214"/>
      <c r="L62" s="214"/>
    </row>
    <row r="63" spans="1:12" ht="13.5">
      <c r="A63" s="272">
        <v>103</v>
      </c>
      <c r="B63" s="273">
        <f t="shared" si="0"/>
        <v>22.97052993090348</v>
      </c>
      <c r="C63" s="274">
        <f t="shared" si="2"/>
        <v>-0.8694700690965185</v>
      </c>
      <c r="D63" s="214"/>
      <c r="E63" s="275">
        <f t="shared" si="3"/>
        <v>0.004221052509534492</v>
      </c>
      <c r="F63" s="214"/>
      <c r="G63" s="276">
        <f t="shared" si="4"/>
        <v>-0.31291123029216905</v>
      </c>
      <c r="H63" s="275">
        <f t="shared" si="1"/>
        <v>0.001519001656831165</v>
      </c>
      <c r="I63" s="214"/>
      <c r="J63" s="214"/>
      <c r="K63" s="214"/>
      <c r="L63" s="214"/>
    </row>
    <row r="64" spans="1:12" ht="13.5">
      <c r="A64" s="272">
        <v>104</v>
      </c>
      <c r="B64" s="273">
        <f t="shared" si="0"/>
        <v>23.004884665367797</v>
      </c>
      <c r="C64" s="274">
        <f t="shared" si="2"/>
        <v>-0.8351153346322029</v>
      </c>
      <c r="D64" s="214"/>
      <c r="E64" s="275">
        <f t="shared" si="3"/>
        <v>0.004015261915891848</v>
      </c>
      <c r="F64" s="214"/>
      <c r="G64" s="276">
        <f t="shared" si="4"/>
        <v>-0.2838994393867793</v>
      </c>
      <c r="H64" s="275">
        <f t="shared" si="1"/>
        <v>0.0013649123212797255</v>
      </c>
      <c r="I64" s="214"/>
      <c r="J64" s="214"/>
      <c r="K64" s="214"/>
      <c r="L64" s="214"/>
    </row>
    <row r="65" spans="1:12" ht="13.5">
      <c r="A65" s="272">
        <v>105</v>
      </c>
      <c r="B65" s="273">
        <f t="shared" si="0"/>
        <v>23.041158290177258</v>
      </c>
      <c r="C65" s="274">
        <f t="shared" si="2"/>
        <v>-0.7988417098227423</v>
      </c>
      <c r="D65" s="214"/>
      <c r="E65" s="275">
        <f t="shared" si="3"/>
        <v>0.0038042546495225225</v>
      </c>
      <c r="F65" s="214"/>
      <c r="G65" s="276">
        <f t="shared" si="4"/>
        <v>-0.2528708364004366</v>
      </c>
      <c r="H65" s="275">
        <f t="shared" si="1"/>
        <v>0.0012041546583286082</v>
      </c>
      <c r="I65" s="214"/>
      <c r="J65" s="214"/>
      <c r="K65" s="214"/>
      <c r="L65" s="214"/>
    </row>
    <row r="66" spans="1:12" ht="13.5">
      <c r="A66" s="272">
        <v>106</v>
      </c>
      <c r="B66" s="273">
        <f t="shared" si="0"/>
        <v>23.07929829297421</v>
      </c>
      <c r="C66" s="274">
        <f t="shared" si="2"/>
        <v>-0.7607017070257882</v>
      </c>
      <c r="D66" s="214"/>
      <c r="E66" s="275">
        <f t="shared" si="3"/>
        <v>0.0035884264481146847</v>
      </c>
      <c r="F66" s="214"/>
      <c r="G66" s="276">
        <f t="shared" si="4"/>
        <v>-0.2198809026891695</v>
      </c>
      <c r="H66" s="275">
        <f t="shared" si="1"/>
        <v>0.0010371791609874133</v>
      </c>
      <c r="I66" s="214"/>
      <c r="J66" s="214"/>
      <c r="K66" s="214"/>
      <c r="L66" s="214"/>
    </row>
    <row r="67" spans="1:12" ht="13.5">
      <c r="A67" s="272">
        <v>107</v>
      </c>
      <c r="B67" s="273">
        <f t="shared" si="0"/>
        <v>23.11925420785524</v>
      </c>
      <c r="C67" s="274">
        <f t="shared" si="2"/>
        <v>-0.7207457921447613</v>
      </c>
      <c r="D67" s="214"/>
      <c r="E67" s="275">
        <f t="shared" si="3"/>
        <v>0.003368148652920431</v>
      </c>
      <c r="F67" s="214"/>
      <c r="G67" s="276">
        <f t="shared" si="4"/>
        <v>-0.18498295406428866</v>
      </c>
      <c r="H67" s="275">
        <f t="shared" si="1"/>
        <v>0.0008644093308272371</v>
      </c>
      <c r="I67" s="214"/>
      <c r="J67" s="214"/>
      <c r="K67" s="214"/>
      <c r="L67" s="214"/>
    </row>
    <row r="68" spans="1:12" ht="13.5">
      <c r="A68" s="272">
        <v>108</v>
      </c>
      <c r="B68" s="273">
        <f t="shared" si="0"/>
        <v>23.1609775180782</v>
      </c>
      <c r="C68" s="274">
        <f t="shared" si="2"/>
        <v>-0.6790224819217983</v>
      </c>
      <c r="D68" s="214"/>
      <c r="E68" s="275">
        <f t="shared" si="3"/>
        <v>0.003143769784130226</v>
      </c>
      <c r="F68" s="214"/>
      <c r="G68" s="276">
        <f t="shared" si="4"/>
        <v>-0.14822824408696178</v>
      </c>
      <c r="H68" s="275">
        <f t="shared" si="1"/>
        <v>0.000686243401768012</v>
      </c>
      <c r="I68" s="214"/>
      <c r="J68" s="214"/>
      <c r="K68" s="214"/>
      <c r="L68" s="214"/>
    </row>
    <row r="69" spans="1:12" ht="13.5">
      <c r="A69" s="272">
        <v>109</v>
      </c>
      <c r="B69" s="273">
        <f t="shared" si="0"/>
        <v>23.204421564310888</v>
      </c>
      <c r="C69" s="274">
        <f t="shared" si="2"/>
        <v>-0.6355784356891121</v>
      </c>
      <c r="D69" s="214"/>
      <c r="E69" s="275">
        <f t="shared" si="3"/>
        <v>0.0029156170044358156</v>
      </c>
      <c r="F69" s="214"/>
      <c r="G69" s="276">
        <f t="shared" si="4"/>
        <v>-0.10966606145849767</v>
      </c>
      <c r="H69" s="275">
        <f t="shared" si="1"/>
        <v>0.0005030559421108611</v>
      </c>
      <c r="I69" s="214"/>
      <c r="J69" s="214"/>
      <c r="K69" s="214"/>
      <c r="L69" s="214"/>
    </row>
    <row r="70" spans="1:12" ht="13.5">
      <c r="A70" s="272">
        <v>110</v>
      </c>
      <c r="B70" s="273">
        <f t="shared" si="0"/>
        <v>23.24954145805472</v>
      </c>
      <c r="C70" s="274">
        <f t="shared" si="2"/>
        <v>-0.5904585419452815</v>
      </c>
      <c r="D70" s="214"/>
      <c r="E70" s="275">
        <f t="shared" si="3"/>
        <v>0.0026839974795484656</v>
      </c>
      <c r="F70" s="214"/>
      <c r="G70" s="276">
        <f t="shared" si="4"/>
        <v>-0.06934382189817256</v>
      </c>
      <c r="H70" s="275">
        <f t="shared" si="1"/>
        <v>0.0003151993443447353</v>
      </c>
      <c r="I70" s="214"/>
      <c r="J70" s="214"/>
      <c r="K70" s="214"/>
      <c r="L70" s="214"/>
    </row>
    <row r="71" spans="1:12" ht="13.5">
      <c r="A71" s="272">
        <v>111</v>
      </c>
      <c r="B71" s="273">
        <f t="shared" si="0"/>
        <v>23.29629399990517</v>
      </c>
      <c r="C71" s="274">
        <f t="shared" si="2"/>
        <v>-0.5437060000948293</v>
      </c>
      <c r="D71" s="214"/>
      <c r="E71" s="275">
        <f t="shared" si="3"/>
        <v>0.0024491996436802692</v>
      </c>
      <c r="F71" s="214"/>
      <c r="G71" s="276">
        <f t="shared" si="4"/>
        <v>-0.02730715487057722</v>
      </c>
      <c r="H71" s="275">
        <f t="shared" si="1"/>
        <v>0.00012300521143315257</v>
      </c>
      <c r="I71" s="214"/>
      <c r="J71" s="214"/>
      <c r="K71" s="214"/>
      <c r="L71" s="214"/>
    </row>
    <row r="72" spans="1:12" ht="13.5">
      <c r="A72" s="272">
        <v>112</v>
      </c>
      <c r="B72" s="273">
        <f t="shared" si="0"/>
        <v>23.34463760233522</v>
      </c>
      <c r="C72" s="274">
        <f t="shared" si="2"/>
        <v>-0.4953623976647812</v>
      </c>
      <c r="D72" s="214"/>
      <c r="E72" s="275">
        <f t="shared" si="3"/>
        <v>0.002211494377313975</v>
      </c>
      <c r="F72" s="214"/>
      <c r="G72" s="276">
        <f t="shared" si="4"/>
        <v>0.016400014502124804</v>
      </c>
      <c r="H72" s="275">
        <f t="shared" si="1"/>
        <v>7.32143524553994E-05</v>
      </c>
      <c r="I72" s="214"/>
      <c r="J72" s="214"/>
      <c r="K72" s="214"/>
      <c r="L72" s="214"/>
    </row>
    <row r="73" spans="1:12" ht="13.5">
      <c r="A73" s="272">
        <v>113</v>
      </c>
      <c r="B73" s="273">
        <f t="shared" si="0"/>
        <v>23.394532216711813</v>
      </c>
      <c r="C73" s="274">
        <f t="shared" si="2"/>
        <v>-0.44546778328818704</v>
      </c>
      <c r="D73" s="214"/>
      <c r="E73" s="275">
        <f t="shared" si="3"/>
        <v>0.001971136103963284</v>
      </c>
      <c r="F73" s="214"/>
      <c r="G73" s="276">
        <f t="shared" si="4"/>
        <v>0.06173538803318124</v>
      </c>
      <c r="H73" s="275">
        <f t="shared" si="1"/>
        <v>0.0002731655394879902</v>
      </c>
      <c r="I73" s="214"/>
      <c r="J73" s="214"/>
      <c r="K73" s="214"/>
      <c r="L73" s="214"/>
    </row>
    <row r="74" spans="1:12" ht="13.5">
      <c r="A74" s="272">
        <v>114</v>
      </c>
      <c r="B74" s="273">
        <f t="shared" si="0"/>
        <v>23.445939264275903</v>
      </c>
      <c r="C74" s="274">
        <f t="shared" si="2"/>
        <v>-0.3940607357240964</v>
      </c>
      <c r="D74" s="214"/>
      <c r="E74" s="275">
        <f t="shared" si="3"/>
        <v>0.001728363812065524</v>
      </c>
      <c r="F74" s="214"/>
      <c r="G74" s="276">
        <f t="shared" si="4"/>
        <v>0.10865822128153368</v>
      </c>
      <c r="H74" s="275">
        <f t="shared" si="1"/>
        <v>0.00047657171730164355</v>
      </c>
      <c r="I74" s="214"/>
      <c r="J74" s="214"/>
      <c r="K74" s="214"/>
      <c r="L74" s="214"/>
    </row>
    <row r="75" spans="1:12" ht="13.5">
      <c r="A75" s="272">
        <v>115</v>
      </c>
      <c r="B75" s="273">
        <f t="shared" si="0"/>
        <v>23.498821570836675</v>
      </c>
      <c r="C75" s="274">
        <f t="shared" si="2"/>
        <v>-0.34117842916332464</v>
      </c>
      <c r="D75" s="214"/>
      <c r="E75" s="275">
        <f t="shared" si="3"/>
        <v>0.0014834020076339438</v>
      </c>
      <c r="F75" s="214"/>
      <c r="G75" s="276">
        <f t="shared" si="4"/>
        <v>0.15712925431310154</v>
      </c>
      <c r="H75" s="275">
        <f t="shared" si="1"/>
        <v>0.0006831723836139154</v>
      </c>
      <c r="I75" s="214"/>
      <c r="J75" s="214"/>
      <c r="K75" s="214"/>
      <c r="L75" s="214"/>
    </row>
    <row r="76" spans="1:12" ht="13.5">
      <c r="A76" s="272">
        <v>116</v>
      </c>
      <c r="B76" s="273">
        <f t="shared" si="0"/>
        <v>23.55314330494802</v>
      </c>
      <c r="C76" s="274">
        <f t="shared" si="2"/>
        <v>-0.28685669505198064</v>
      </c>
      <c r="D76" s="214"/>
      <c r="E76" s="275">
        <f t="shared" si="3"/>
        <v>0.0012364616028342956</v>
      </c>
      <c r="F76" s="214"/>
      <c r="G76" s="276">
        <f t="shared" si="4"/>
        <v>0.20711064616542885</v>
      </c>
      <c r="H76" s="275">
        <f t="shared" si="1"/>
        <v>0.0008927221906948542</v>
      </c>
      <c r="I76" s="214"/>
      <c r="J76" s="214"/>
      <c r="K76" s="214"/>
      <c r="L76" s="214"/>
    </row>
    <row r="77" spans="1:12" ht="13.5">
      <c r="A77" s="272">
        <v>117</v>
      </c>
      <c r="B77" s="273">
        <f t="shared" si="0"/>
        <v>23.608869919351996</v>
      </c>
      <c r="C77" s="274">
        <f t="shared" si="2"/>
        <v>-0.2311300806480041</v>
      </c>
      <c r="D77" s="287"/>
      <c r="E77" s="275">
        <f t="shared" si="3"/>
        <v>0.0009877407452261412</v>
      </c>
      <c r="F77" s="214"/>
      <c r="G77" s="276">
        <f t="shared" si="4"/>
        <v>0.2585659127859401</v>
      </c>
      <c r="H77" s="275">
        <f t="shared" si="1"/>
        <v>0.0011049900345462657</v>
      </c>
      <c r="I77" s="214"/>
      <c r="J77" s="214"/>
      <c r="K77" s="214"/>
      <c r="L77" s="214"/>
    </row>
    <row r="78" spans="1:12" ht="13.5">
      <c r="A78" s="272">
        <v>118</v>
      </c>
      <c r="B78" s="273">
        <f t="shared" si="0"/>
        <v>23.665968095489188</v>
      </c>
      <c r="C78" s="274">
        <f t="shared" si="2"/>
        <v>-0.1740319045108123</v>
      </c>
      <c r="D78" s="214"/>
      <c r="E78" s="275">
        <f t="shared" si="3"/>
        <v>0.0007374255920241946</v>
      </c>
      <c r="F78" s="214"/>
      <c r="G78" s="276">
        <f t="shared" si="4"/>
        <v>0.3114598682302905</v>
      </c>
      <c r="H78" s="275">
        <f t="shared" si="1"/>
        <v>0.0013197582040526906</v>
      </c>
      <c r="I78" s="214"/>
      <c r="J78" s="214"/>
      <c r="K78" s="214"/>
      <c r="L78" s="214"/>
    </row>
    <row r="79" spans="1:12" ht="13.5">
      <c r="A79" s="272">
        <v>119</v>
      </c>
      <c r="B79" s="273">
        <f t="shared" si="0"/>
        <v>23.72440569088961</v>
      </c>
      <c r="C79" s="274">
        <f t="shared" si="2"/>
        <v>-0.1155943091103886</v>
      </c>
      <c r="D79" s="214"/>
      <c r="E79" s="275">
        <f t="shared" si="3"/>
        <v>0.0004856910333848356</v>
      </c>
      <c r="F79" s="214"/>
      <c r="G79" s="276">
        <f t="shared" si="4"/>
        <v>0.3657585689220255</v>
      </c>
      <c r="H79" s="275">
        <f t="shared" si="1"/>
        <v>0.0015368215857488629</v>
      </c>
      <c r="I79" s="214"/>
      <c r="J79" s="214"/>
      <c r="K79" s="214"/>
      <c r="L79" s="214"/>
    </row>
    <row r="80" spans="1:12" ht="13.5">
      <c r="A80" s="272">
        <v>120</v>
      </c>
      <c r="B80" s="273">
        <f t="shared" si="0"/>
        <v>23.784151689270956</v>
      </c>
      <c r="C80" s="274">
        <f t="shared" si="2"/>
        <v>-0.055848310729043504</v>
      </c>
      <c r="D80" s="214"/>
      <c r="E80" s="275">
        <f t="shared" si="3"/>
        <v>0.00023270136840180926</v>
      </c>
      <c r="F80" s="214"/>
      <c r="G80" s="276">
        <f t="shared" si="4"/>
        <v>0.4214292607889263</v>
      </c>
      <c r="H80" s="275">
        <f t="shared" si="1"/>
        <v>0.0017559869201978111</v>
      </c>
      <c r="I80" s="214"/>
      <c r="J80" s="214"/>
      <c r="K80" s="214"/>
      <c r="L80" s="214"/>
    </row>
    <row r="81" spans="1:12" ht="13.5">
      <c r="A81" s="272">
        <v>121</v>
      </c>
      <c r="B81" s="273">
        <f aca="true" t="shared" si="5" ref="B81:B107">ASIN(A81/2/$C$9+$C$9/A81*($C$8/$C$9-0.5*($C$8/$C$9)*($C$8/$C$9)))*180/PI()</f>
        <v>23.845176153182532</v>
      </c>
      <c r="C81" s="274">
        <f t="shared" si="2"/>
        <v>0.005176153182532062</v>
      </c>
      <c r="D81" s="214"/>
      <c r="E81" s="275">
        <f t="shared" si="3"/>
        <v>2.13890627959246E-05</v>
      </c>
      <c r="F81" s="214"/>
      <c r="G81" s="276">
        <f t="shared" si="4"/>
        <v>0.47844032910358436</v>
      </c>
      <c r="H81" s="275">
        <f aca="true" t="shared" si="6" ref="H81:H107">ABS(9*$E$14*TAN(G81*PI()/180)/(PI()*A81))</f>
        <v>0.001977072106288843</v>
      </c>
      <c r="I81" s="214"/>
      <c r="J81" s="214"/>
      <c r="K81" s="214"/>
      <c r="L81" s="214"/>
    </row>
    <row r="82" spans="1:12" ht="13.5">
      <c r="A82" s="272">
        <v>122</v>
      </c>
      <c r="B82" s="273">
        <f t="shared" si="5"/>
        <v>23.907450179044634</v>
      </c>
      <c r="C82" s="274">
        <f aca="true" t="shared" si="7" ref="C82:C107">B82-$C$10</f>
        <v>0.06745017904463424</v>
      </c>
      <c r="D82" s="214"/>
      <c r="E82" s="275">
        <f aca="true" t="shared" si="8" ref="E82:E107">ABS(9*$E$14*TAN(C82*PI()/180)/(PI()*A82))</f>
        <v>0.0002764352877196744</v>
      </c>
      <c r="F82" s="214"/>
      <c r="G82" s="276">
        <f aca="true" t="shared" si="9" ref="G82:G107">ASIN(A82/2/$I$9+$I$9/A82*($K$8/$I$9-0.5*($K$8/$I$9)*($K$8/$I$9)))*180/PI()-$I$10</f>
        <v>0.5367612508681283</v>
      </c>
      <c r="H82" s="275">
        <f t="shared" si="6"/>
        <v>0.0021999055500573103</v>
      </c>
      <c r="I82" s="214"/>
      <c r="J82" s="214"/>
      <c r="K82" s="214"/>
      <c r="L82" s="214"/>
    </row>
    <row r="83" spans="1:12" ht="13.5">
      <c r="A83" s="272">
        <v>123</v>
      </c>
      <c r="B83" s="273">
        <f t="shared" si="5"/>
        <v>23.97094585444268</v>
      </c>
      <c r="C83" s="274">
        <f t="shared" si="7"/>
        <v>0.13094585444267892</v>
      </c>
      <c r="D83" s="214"/>
      <c r="E83" s="275">
        <f t="shared" si="8"/>
        <v>0.0005323011480871984</v>
      </c>
      <c r="F83" s="214"/>
      <c r="G83" s="276">
        <f t="shared" si="9"/>
        <v>0.5963625495932519</v>
      </c>
      <c r="H83" s="275">
        <f t="shared" si="6"/>
        <v>0.002424325554890473</v>
      </c>
      <c r="I83" s="214"/>
      <c r="J83" s="214"/>
      <c r="K83" s="214"/>
      <c r="L83" s="214"/>
    </row>
    <row r="84" spans="1:12" ht="13.5">
      <c r="A84" s="272">
        <v>124</v>
      </c>
      <c r="B84" s="273">
        <f t="shared" si="5"/>
        <v>24.035636217545292</v>
      </c>
      <c r="C84" s="274">
        <f t="shared" si="7"/>
        <v>0.19563621754529237</v>
      </c>
      <c r="D84" s="214"/>
      <c r="E84" s="275">
        <f t="shared" si="8"/>
        <v>0.0007888587816221575</v>
      </c>
      <c r="F84" s="214"/>
      <c r="G84" s="276">
        <f t="shared" si="9"/>
        <v>0.6572157523320499</v>
      </c>
      <c r="H84" s="275">
        <f t="shared" si="6"/>
        <v>0.0026501797502277076</v>
      </c>
      <c r="I84" s="214"/>
      <c r="J84" s="214"/>
      <c r="K84" s="214"/>
      <c r="L84" s="214"/>
    </row>
    <row r="85" spans="1:12" ht="13.5">
      <c r="A85" s="272">
        <v>125</v>
      </c>
      <c r="B85" s="273">
        <f t="shared" si="5"/>
        <v>24.101495218523837</v>
      </c>
      <c r="C85" s="274">
        <f t="shared" si="7"/>
        <v>0.2614952185238373</v>
      </c>
      <c r="D85" s="214"/>
      <c r="E85" s="275">
        <f t="shared" si="8"/>
        <v>0.001045988136632161</v>
      </c>
      <c r="F85" s="214"/>
      <c r="G85" s="276">
        <f t="shared" si="9"/>
        <v>0.7192933488384128</v>
      </c>
      <c r="H85" s="275">
        <f t="shared" si="6"/>
        <v>0.002877324556085091</v>
      </c>
      <c r="I85" s="214"/>
      <c r="J85" s="214"/>
      <c r="K85" s="214"/>
      <c r="L85" s="214"/>
    </row>
    <row r="86" spans="1:12" ht="13.5">
      <c r="A86" s="272">
        <v>126</v>
      </c>
      <c r="B86" s="273">
        <f t="shared" si="5"/>
        <v>24.1684976828592</v>
      </c>
      <c r="C86" s="274">
        <f t="shared" si="7"/>
        <v>0.3284976828592008</v>
      </c>
      <c r="D86" s="214"/>
      <c r="E86" s="275">
        <f t="shared" si="8"/>
        <v>0.0013035765170992537</v>
      </c>
      <c r="F86" s="214"/>
      <c r="G86" s="276">
        <f t="shared" si="9"/>
        <v>0.7825687527281708</v>
      </c>
      <c r="H86" s="275">
        <f t="shared" si="6"/>
        <v>0.003105624680937237</v>
      </c>
      <c r="I86" s="214"/>
      <c r="J86" s="214"/>
      <c r="K86" s="214"/>
      <c r="L86" s="214"/>
    </row>
    <row r="87" spans="1:12" ht="13.5">
      <c r="A87" s="272">
        <v>127</v>
      </c>
      <c r="B87" s="273">
        <f t="shared" si="5"/>
        <v>24.23661927642876</v>
      </c>
      <c r="C87" s="274">
        <f t="shared" si="7"/>
        <v>0.3966192764287584</v>
      </c>
      <c r="D87" s="214"/>
      <c r="E87" s="275">
        <f t="shared" si="8"/>
        <v>0.0015615181561869224</v>
      </c>
      <c r="F87" s="214"/>
      <c r="G87" s="276">
        <f t="shared" si="9"/>
        <v>0.8470162645292021</v>
      </c>
      <c r="H87" s="275">
        <f t="shared" si="6"/>
        <v>0.0033349526506760018</v>
      </c>
      <c r="I87" s="214"/>
      <c r="J87" s="214"/>
      <c r="K87" s="214"/>
      <c r="L87" s="214"/>
    </row>
    <row r="88" spans="1:12" ht="13.5">
      <c r="A88" s="272">
        <v>128</v>
      </c>
      <c r="B88" s="273">
        <f t="shared" si="5"/>
        <v>24.305836472273693</v>
      </c>
      <c r="C88" s="274">
        <f t="shared" si="7"/>
        <v>0.4658364722736934</v>
      </c>
      <c r="D88" s="214"/>
      <c r="E88" s="275">
        <f t="shared" si="8"/>
        <v>0.001819713816226639</v>
      </c>
      <c r="F88" s="214"/>
      <c r="G88" s="276">
        <f t="shared" si="9"/>
        <v>0.9126110365140683</v>
      </c>
      <c r="H88" s="275">
        <f t="shared" si="6"/>
        <v>0.0035651883665366395</v>
      </c>
      <c r="I88" s="214"/>
      <c r="J88" s="214"/>
      <c r="K88" s="214"/>
      <c r="L88" s="214"/>
    </row>
    <row r="89" spans="1:12" ht="13.5">
      <c r="A89" s="272">
        <v>129</v>
      </c>
      <c r="B89" s="273">
        <f t="shared" si="5"/>
        <v>24.37612651895292</v>
      </c>
      <c r="C89" s="274">
        <f t="shared" si="7"/>
        <v>0.5361265189529192</v>
      </c>
      <c r="D89" s="214"/>
      <c r="E89" s="275">
        <f t="shared" si="8"/>
        <v>0.0020780704133902222</v>
      </c>
      <c r="F89" s="214"/>
      <c r="G89" s="276">
        <f t="shared" si="9"/>
        <v>0.9793290392156777</v>
      </c>
      <c r="H89" s="275">
        <f t="shared" si="6"/>
        <v>0.0037962186900395035</v>
      </c>
      <c r="I89" s="214"/>
      <c r="J89" s="214"/>
      <c r="K89" s="214"/>
      <c r="L89" s="214"/>
    </row>
    <row r="90" spans="1:12" ht="13.5">
      <c r="A90" s="272">
        <v>130</v>
      </c>
      <c r="B90" s="273">
        <f t="shared" si="5"/>
        <v>24.447467410396</v>
      </c>
      <c r="C90" s="274">
        <f t="shared" si="7"/>
        <v>0.6074674103960014</v>
      </c>
      <c r="D90" s="214"/>
      <c r="E90" s="275">
        <f t="shared" si="8"/>
        <v>0.00233650066538794</v>
      </c>
      <c r="F90" s="214"/>
      <c r="G90" s="276">
        <f t="shared" si="9"/>
        <v>1.0471470295325034</v>
      </c>
      <c r="H90" s="275">
        <f t="shared" si="6"/>
        <v>0.004027937053138389</v>
      </c>
      <c r="I90" s="214"/>
      <c r="J90" s="214"/>
      <c r="K90" s="214"/>
      <c r="L90" s="214"/>
    </row>
    <row r="91" spans="1:12" ht="13.5">
      <c r="A91" s="272">
        <v>131</v>
      </c>
      <c r="B91" s="273">
        <f t="shared" si="5"/>
        <v>24.519837857172934</v>
      </c>
      <c r="C91" s="274">
        <f t="shared" si="7"/>
        <v>0.6798378571729344</v>
      </c>
      <c r="D91" s="214"/>
      <c r="E91" s="275">
        <f t="shared" si="8"/>
        <v>0.0025949227606541308</v>
      </c>
      <c r="F91" s="214"/>
      <c r="G91" s="276">
        <f t="shared" si="9"/>
        <v>1.1160425203361797</v>
      </c>
      <c r="H91" s="275">
        <f t="shared" si="6"/>
        <v>0.004260243091900897</v>
      </c>
      <c r="I91" s="214"/>
      <c r="J91" s="214"/>
      <c r="K91" s="214"/>
      <c r="L91" s="214"/>
    </row>
    <row r="92" spans="1:12" ht="13.5">
      <c r="A92" s="272">
        <v>132</v>
      </c>
      <c r="B92" s="273">
        <f t="shared" si="5"/>
        <v>24.5932172591036</v>
      </c>
      <c r="C92" s="274">
        <f t="shared" si="7"/>
        <v>0.7532172591036002</v>
      </c>
      <c r="D92" s="214"/>
      <c r="E92" s="275">
        <f t="shared" si="8"/>
        <v>0.0028532600475938454</v>
      </c>
      <c r="F92" s="214"/>
      <c r="G92" s="276">
        <f t="shared" si="9"/>
        <v>1.1859937514994847</v>
      </c>
      <c r="H92" s="275">
        <f t="shared" si="6"/>
        <v>0.004493042302167067</v>
      </c>
      <c r="I92" s="214"/>
      <c r="J92" s="214"/>
      <c r="K92" s="214"/>
      <c r="L92" s="214"/>
    </row>
    <row r="93" spans="1:12" ht="13.5">
      <c r="A93" s="272">
        <v>133</v>
      </c>
      <c r="B93" s="273">
        <f t="shared" si="5"/>
        <v>24.66758567913499</v>
      </c>
      <c r="C93" s="274">
        <f t="shared" si="7"/>
        <v>0.8275856791349909</v>
      </c>
      <c r="D93" s="214"/>
      <c r="E93" s="275">
        <f t="shared" si="8"/>
        <v>0.0031114407425692388</v>
      </c>
      <c r="F93" s="214"/>
      <c r="G93" s="276">
        <f t="shared" si="9"/>
        <v>1.2569796622678702</v>
      </c>
      <c r="H93" s="275">
        <f t="shared" si="6"/>
        <v>0.004726245715745152</v>
      </c>
      <c r="I93" s="214"/>
      <c r="J93" s="214"/>
      <c r="K93" s="214"/>
      <c r="L93" s="214"/>
    </row>
    <row r="94" spans="1:12" ht="13.5">
      <c r="A94" s="272">
        <v>134</v>
      </c>
      <c r="B94" s="273">
        <f t="shared" si="5"/>
        <v>24.742923818417868</v>
      </c>
      <c r="C94" s="274">
        <f t="shared" si="7"/>
        <v>0.9029238184178681</v>
      </c>
      <c r="D94" s="214"/>
      <c r="E94" s="275">
        <f t="shared" si="8"/>
        <v>0.0033693976553964247</v>
      </c>
      <c r="F94" s="214"/>
      <c r="G94" s="276">
        <f t="shared" si="9"/>
        <v>1.3289798649025073</v>
      </c>
      <c r="H94" s="275">
        <f t="shared" si="6"/>
        <v>0.004959769595807163</v>
      </c>
      <c r="I94" s="214"/>
      <c r="J94" s="214"/>
      <c r="K94" s="214"/>
      <c r="L94" s="214"/>
    </row>
    <row r="95" spans="1:12" ht="13.5">
      <c r="A95" s="272">
        <v>135</v>
      </c>
      <c r="B95" s="273">
        <f t="shared" si="5"/>
        <v>24.81921299251967</v>
      </c>
      <c r="C95" s="274">
        <f t="shared" si="7"/>
        <v>0.9792129925196704</v>
      </c>
      <c r="D95" s="214"/>
      <c r="E95" s="275">
        <f t="shared" si="8"/>
        <v>0.0036270679312151105</v>
      </c>
      <c r="F95" s="214"/>
      <c r="G95" s="276">
        <f t="shared" si="9"/>
        <v>1.4019746195270884</v>
      </c>
      <c r="H95" s="275">
        <f t="shared" si="6"/>
        <v>0.0051935351502415865</v>
      </c>
      <c r="I95" s="214"/>
      <c r="J95" s="214"/>
      <c r="K95" s="214"/>
      <c r="L95" s="214"/>
    </row>
    <row r="96" spans="1:12" ht="13.5">
      <c r="A96" s="272">
        <v>136</v>
      </c>
      <c r="B96" s="273">
        <f t="shared" si="5"/>
        <v>24.89643510871353</v>
      </c>
      <c r="C96" s="274">
        <f t="shared" si="7"/>
        <v>1.0564351087135293</v>
      </c>
      <c r="D96" s="214"/>
      <c r="E96" s="275">
        <f t="shared" si="8"/>
        <v>0.0038843928076711482</v>
      </c>
      <c r="F96" s="214"/>
      <c r="G96" s="276">
        <f t="shared" si="9"/>
        <v>1.4759448101149069</v>
      </c>
      <c r="H96" s="275">
        <f t="shared" si="6"/>
        <v>0.005427468261809449</v>
      </c>
      <c r="I96" s="214"/>
      <c r="J96" s="214"/>
      <c r="K96" s="214"/>
      <c r="L96" s="214"/>
    </row>
    <row r="97" spans="1:12" ht="13.5">
      <c r="A97" s="272">
        <v>137</v>
      </c>
      <c r="B97" s="273">
        <f t="shared" si="5"/>
        <v>24.97457264428722</v>
      </c>
      <c r="C97" s="274">
        <f t="shared" si="7"/>
        <v>1.1345726442872213</v>
      </c>
      <c r="D97" s="214"/>
      <c r="E97" s="275">
        <f t="shared" si="8"/>
        <v>0.004141317386428338</v>
      </c>
      <c r="F97" s="214"/>
      <c r="G97" s="276">
        <f t="shared" si="9"/>
        <v>1.5508719215564355</v>
      </c>
      <c r="H97" s="275">
        <f t="shared" si="6"/>
        <v>0.005661499234030416</v>
      </c>
      <c r="I97" s="214"/>
      <c r="J97" s="214"/>
      <c r="K97" s="214"/>
      <c r="L97" s="214"/>
    </row>
    <row r="98" spans="1:12" ht="13.5">
      <c r="A98" s="272">
        <v>138</v>
      </c>
      <c r="B98" s="273">
        <f t="shared" si="5"/>
        <v>25.053608625819244</v>
      </c>
      <c r="C98" s="274">
        <f t="shared" si="7"/>
        <v>1.2136086258192442</v>
      </c>
      <c r="D98" s="214"/>
      <c r="E98" s="275">
        <f t="shared" si="8"/>
        <v>0.004397790418094687</v>
      </c>
      <c r="F98" s="214"/>
      <c r="G98" s="276">
        <f t="shared" si="9"/>
        <v>1.626738017751137</v>
      </c>
      <c r="H98" s="275">
        <f t="shared" si="6"/>
        <v>0.0058955625518005055</v>
      </c>
      <c r="I98" s="214"/>
      <c r="J98" s="214"/>
      <c r="K98" s="287"/>
      <c r="L98" s="214"/>
    </row>
    <row r="99" spans="1:12" ht="13.5">
      <c r="A99" s="272">
        <v>139</v>
      </c>
      <c r="B99" s="273">
        <f t="shared" si="5"/>
        <v>25.133526609372105</v>
      </c>
      <c r="C99" s="274">
        <f t="shared" si="7"/>
        <v>1.2935266093721047</v>
      </c>
      <c r="D99" s="214"/>
      <c r="E99" s="275">
        <f t="shared" si="8"/>
        <v>0.004653764099711249</v>
      </c>
      <c r="F99" s="214"/>
      <c r="G99" s="276">
        <f t="shared" si="9"/>
        <v>1.7035257206707968</v>
      </c>
      <c r="H99" s="275">
        <f t="shared" si="6"/>
        <v>0.006129596655812976</v>
      </c>
      <c r="I99" s="214"/>
      <c r="J99" s="214"/>
      <c r="K99" s="214"/>
      <c r="L99" s="214"/>
    </row>
    <row r="100" spans="1:12" ht="13.5">
      <c r="A100" s="272">
        <v>140</v>
      </c>
      <c r="B100" s="273">
        <f t="shared" si="5"/>
        <v>25.214310661556095</v>
      </c>
      <c r="C100" s="274">
        <f t="shared" si="7"/>
        <v>1.3743106615560947</v>
      </c>
      <c r="D100" s="214"/>
      <c r="E100" s="275">
        <f t="shared" si="8"/>
        <v>0.004909193884011541</v>
      </c>
      <c r="F100" s="214"/>
      <c r="G100" s="276">
        <f t="shared" si="9"/>
        <v>1.7812181903445108</v>
      </c>
      <c r="H100" s="275">
        <f t="shared" si="6"/>
        <v>0.0063635437299170315</v>
      </c>
      <c r="I100" s="214"/>
      <c r="J100" s="214"/>
      <c r="K100" s="214"/>
      <c r="L100" s="214"/>
    </row>
    <row r="101" spans="1:12" ht="13.5">
      <c r="A101" s="272">
        <v>141</v>
      </c>
      <c r="B101" s="273">
        <f t="shared" si="5"/>
        <v>25.295945341419404</v>
      </c>
      <c r="C101" s="274">
        <f t="shared" si="7"/>
        <v>1.4559453414194046</v>
      </c>
      <c r="D101" s="214"/>
      <c r="E101" s="275">
        <f t="shared" si="8"/>
        <v>0.00516403829971333</v>
      </c>
      <c r="F101" s="214"/>
      <c r="G101" s="276">
        <f t="shared" si="9"/>
        <v>1.859799105718622</v>
      </c>
      <c r="H101" s="275">
        <f t="shared" si="6"/>
        <v>0.0065973495006091286</v>
      </c>
      <c r="I101" s="214"/>
      <c r="J101" s="214"/>
      <c r="K101" s="214"/>
      <c r="L101" s="214"/>
    </row>
    <row r="102" spans="1:12" ht="13.5">
      <c r="A102" s="272">
        <v>142</v>
      </c>
      <c r="B102" s="273">
        <f t="shared" si="5"/>
        <v>25.37841568312294</v>
      </c>
      <c r="C102" s="274">
        <f t="shared" si="7"/>
        <v>1.5384156831229419</v>
      </c>
      <c r="D102" s="214"/>
      <c r="E102" s="275">
        <f t="shared" si="8"/>
        <v>0.005418258782154948</v>
      </c>
      <c r="F102" s="214"/>
      <c r="G102" s="276">
        <f t="shared" si="9"/>
        <v>1.9392526463473345</v>
      </c>
      <c r="H102" s="275">
        <f t="shared" si="6"/>
        <v>0.006830963047905404</v>
      </c>
      <c r="I102" s="214"/>
      <c r="J102" s="214"/>
      <c r="K102" s="214"/>
      <c r="L102" s="214"/>
    </row>
    <row r="103" spans="1:12" ht="13.5">
      <c r="A103" s="272">
        <v>143</v>
      </c>
      <c r="B103" s="273">
        <f t="shared" si="5"/>
        <v>25.46170717936075</v>
      </c>
      <c r="C103" s="274">
        <f t="shared" si="7"/>
        <v>1.621707179360751</v>
      </c>
      <c r="D103" s="214"/>
      <c r="E103" s="275">
        <f t="shared" si="8"/>
        <v>0.005671819513635372</v>
      </c>
      <c r="F103" s="214"/>
      <c r="G103" s="276">
        <f t="shared" si="9"/>
        <v>2.019563474872541</v>
      </c>
      <c r="H103" s="275">
        <f t="shared" si="6"/>
        <v>0.0070643366268955485</v>
      </c>
      <c r="I103" s="214"/>
      <c r="J103" s="214"/>
      <c r="K103" s="214"/>
      <c r="L103" s="214"/>
    </row>
    <row r="104" spans="1:12" ht="13.5">
      <c r="A104" s="272">
        <v>144</v>
      </c>
      <c r="B104" s="273">
        <f t="shared" si="5"/>
        <v>25.545805765489035</v>
      </c>
      <c r="C104" s="274">
        <f t="shared" si="7"/>
        <v>1.7058057654890355</v>
      </c>
      <c r="D104" s="214"/>
      <c r="E104" s="275">
        <f t="shared" si="8"/>
        <v>0.005924687272860129</v>
      </c>
      <c r="F104" s="214"/>
      <c r="G104" s="276">
        <f t="shared" si="9"/>
        <v>2.1007167202536117</v>
      </c>
      <c r="H104" s="275">
        <f t="shared" si="6"/>
        <v>0.007297425499324736</v>
      </c>
      <c r="I104" s="214"/>
      <c r="J104" s="214"/>
      <c r="K104" s="214"/>
      <c r="L104" s="214"/>
    </row>
    <row r="105" spans="1:12" ht="13.5">
      <c r="A105" s="272">
        <v>145</v>
      </c>
      <c r="B105" s="273">
        <f t="shared" si="5"/>
        <v>25.630697804328975</v>
      </c>
      <c r="C105" s="274">
        <f t="shared" si="7"/>
        <v>1.7906978043289747</v>
      </c>
      <c r="D105" s="214"/>
      <c r="E105" s="275">
        <f t="shared" si="8"/>
        <v>0.0061768312929353945</v>
      </c>
      <c r="F105" s="214"/>
      <c r="G105" s="276">
        <f t="shared" si="9"/>
        <v>2.1826979617101117</v>
      </c>
      <c r="H105" s="275">
        <f t="shared" si="6"/>
        <v>0.007530187774593917</v>
      </c>
      <c r="I105" s="214"/>
      <c r="J105" s="214"/>
      <c r="K105" s="214"/>
      <c r="L105" s="214"/>
    </row>
    <row r="106" spans="1:12" ht="13.5">
      <c r="A106" s="272">
        <v>146</v>
      </c>
      <c r="B106" s="273">
        <f t="shared" si="5"/>
        <v>25.716370071610285</v>
      </c>
      <c r="C106" s="274">
        <f t="shared" si="7"/>
        <v>1.8763700716102854</v>
      </c>
      <c r="D106" s="214"/>
      <c r="E106" s="275">
        <f t="shared" si="8"/>
        <v>0.0064282231273892106</v>
      </c>
      <c r="F106" s="214"/>
      <c r="G106" s="276">
        <f t="shared" si="9"/>
        <v>2.2654932133426655</v>
      </c>
      <c r="H106" s="275">
        <f t="shared" si="6"/>
        <v>0.0077625842596097</v>
      </c>
      <c r="I106" s="214"/>
      <c r="J106" s="214"/>
      <c r="K106" s="214"/>
      <c r="L106" s="214"/>
    </row>
    <row r="107" spans="1:12" ht="13.5">
      <c r="A107" s="272">
        <v>146.5</v>
      </c>
      <c r="B107" s="273">
        <f t="shared" si="5"/>
        <v>25.759494767792507</v>
      </c>
      <c r="C107" s="274">
        <f t="shared" si="7"/>
        <v>1.9194947677925072</v>
      </c>
      <c r="D107" s="214"/>
      <c r="E107" s="275">
        <f t="shared" si="8"/>
        <v>0.006553628688713388</v>
      </c>
      <c r="F107" s="214"/>
      <c r="G107" s="276">
        <f t="shared" si="9"/>
        <v>2.307191837655516</v>
      </c>
      <c r="H107" s="275">
        <f t="shared" si="6"/>
        <v>0.007878633785463498</v>
      </c>
      <c r="I107" s="214"/>
      <c r="J107" s="214"/>
      <c r="K107" s="214"/>
      <c r="L107" s="214"/>
    </row>
    <row r="109" ht="21">
      <c r="A109" s="288" t="s">
        <v>34</v>
      </c>
    </row>
    <row r="110" ht="18">
      <c r="A110" s="227" t="s">
        <v>35</v>
      </c>
    </row>
    <row r="111" ht="18">
      <c r="A111" s="108" t="s">
        <v>36</v>
      </c>
    </row>
    <row r="112" ht="18">
      <c r="A112" s="108" t="s">
        <v>37</v>
      </c>
    </row>
    <row r="113" ht="18">
      <c r="A113" s="108" t="s">
        <v>38</v>
      </c>
    </row>
    <row r="114" ht="18">
      <c r="A114" s="108" t="s">
        <v>39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18"/>
  <sheetViews>
    <sheetView workbookViewId="0" topLeftCell="A1">
      <selection activeCell="E9" sqref="E9"/>
    </sheetView>
  </sheetViews>
  <sheetFormatPr defaultColWidth="8.8515625" defaultRowHeight="15"/>
  <cols>
    <col min="2" max="2" width="10.8515625" style="0" customWidth="1"/>
    <col min="3" max="3" width="11.8515625" style="0" customWidth="1"/>
    <col min="5" max="5" width="11.00390625" style="0" customWidth="1"/>
    <col min="6" max="6" width="10.421875" style="0" customWidth="1"/>
    <col min="7" max="7" width="11.7109375" style="0" customWidth="1"/>
    <col min="9" max="9" width="12.140625" style="0" customWidth="1"/>
    <col min="11" max="11" width="10.00390625" style="0" customWidth="1"/>
    <col min="12" max="12" width="11.140625" style="0" customWidth="1"/>
    <col min="13" max="13" width="10.421875" style="0" customWidth="1"/>
  </cols>
  <sheetData>
    <row r="1" spans="1:10" ht="22.5">
      <c r="A1" s="129" t="s">
        <v>40</v>
      </c>
      <c r="B1" s="130"/>
      <c r="C1" s="130"/>
      <c r="D1" s="130"/>
      <c r="E1" s="131"/>
      <c r="F1" s="131"/>
      <c r="G1" s="131"/>
      <c r="H1" s="131"/>
      <c r="I1" s="131"/>
      <c r="J1" s="130"/>
    </row>
    <row r="2" spans="1:10" ht="13.5">
      <c r="A2" s="132"/>
      <c r="B2" s="130"/>
      <c r="C2" s="130"/>
      <c r="D2" s="130"/>
      <c r="E2" s="130"/>
      <c r="F2" s="130"/>
      <c r="G2" s="133"/>
      <c r="H2" s="130"/>
      <c r="I2" s="133"/>
      <c r="J2" s="133"/>
    </row>
    <row r="3" spans="1:10" ht="13.5">
      <c r="A3" s="134" t="s">
        <v>41</v>
      </c>
      <c r="B3" s="133" t="s">
        <v>42</v>
      </c>
      <c r="C3" s="133"/>
      <c r="D3" s="133"/>
      <c r="E3" s="133"/>
      <c r="F3" s="133"/>
      <c r="G3" s="133"/>
      <c r="H3" s="133"/>
      <c r="I3" s="133"/>
      <c r="J3" s="133"/>
    </row>
    <row r="4" spans="1:10" ht="13.5">
      <c r="A4" s="133"/>
      <c r="B4" s="135" t="s">
        <v>43</v>
      </c>
      <c r="C4" s="133"/>
      <c r="D4" s="133"/>
      <c r="E4" s="136"/>
      <c r="F4" s="137"/>
      <c r="G4" s="137"/>
      <c r="H4" s="133"/>
      <c r="I4" s="183"/>
      <c r="J4" s="133"/>
    </row>
    <row r="5" spans="1:10" ht="13.5">
      <c r="A5" s="137"/>
      <c r="B5" s="137" t="s">
        <v>44</v>
      </c>
      <c r="C5" s="133"/>
      <c r="D5" s="133"/>
      <c r="E5" s="133"/>
      <c r="F5" s="133"/>
      <c r="G5" s="133"/>
      <c r="H5" s="133"/>
      <c r="I5" s="133"/>
      <c r="J5" s="133"/>
    </row>
    <row r="6" spans="1:10" ht="13.5">
      <c r="A6" s="137"/>
      <c r="B6" s="137" t="s">
        <v>45</v>
      </c>
      <c r="C6" s="133"/>
      <c r="D6" s="133"/>
      <c r="E6" s="133"/>
      <c r="F6" s="133"/>
      <c r="G6" s="133"/>
      <c r="H6" s="133"/>
      <c r="I6" s="133"/>
      <c r="J6" s="133"/>
    </row>
    <row r="7" spans="1:13" ht="13.5">
      <c r="A7" s="133"/>
      <c r="B7" s="133"/>
      <c r="C7" s="138" t="s">
        <v>46</v>
      </c>
      <c r="D7" s="138" t="s">
        <v>12</v>
      </c>
      <c r="E7" s="138" t="s">
        <v>17</v>
      </c>
      <c r="F7" s="139" t="s">
        <v>47</v>
      </c>
      <c r="G7" s="139" t="s">
        <v>48</v>
      </c>
      <c r="H7" s="139" t="s">
        <v>49</v>
      </c>
      <c r="I7" s="139" t="s">
        <v>49</v>
      </c>
      <c r="J7" s="184"/>
      <c r="K7" s="185" t="s">
        <v>50</v>
      </c>
      <c r="L7" s="186"/>
      <c r="M7" s="187"/>
    </row>
    <row r="8" spans="1:13" ht="13.5">
      <c r="A8" s="140" t="s">
        <v>51</v>
      </c>
      <c r="B8" s="141"/>
      <c r="C8" s="142">
        <v>233</v>
      </c>
      <c r="D8" s="143">
        <v>12</v>
      </c>
      <c r="E8" s="143">
        <v>18.8</v>
      </c>
      <c r="F8" s="144">
        <f>$C$8*SIN($E$8*PI()/180)</f>
        <v>75.08790698870908</v>
      </c>
      <c r="G8" s="144">
        <f>C8-D8</f>
        <v>221</v>
      </c>
      <c r="H8" s="145">
        <f>C8*SIN(RADIANS(E8))-SQRT((C8*SIN(RADIANS(E8)))^2-(C8^2-(C8-D8)^2))</f>
        <v>61.296831035578165</v>
      </c>
      <c r="I8" s="188">
        <f>C8*SIN(RADIANS(E8))+SQRT((C8*SIN(RADIANS(E8)))^2-(C8^2-(C8-D8)^2))</f>
        <v>88.87898294184</v>
      </c>
      <c r="J8" s="189"/>
      <c r="K8" s="190"/>
      <c r="L8" s="191"/>
      <c r="M8" s="192"/>
    </row>
    <row r="9" spans="1:13" ht="13.5">
      <c r="A9" s="146" t="s">
        <v>52</v>
      </c>
      <c r="B9" s="147"/>
      <c r="C9" s="148">
        <f>C8</f>
        <v>233</v>
      </c>
      <c r="D9" s="149">
        <f>C9-G9</f>
        <v>15.731564648704648</v>
      </c>
      <c r="E9" s="149">
        <f>ASIN(F9/C9)*180/PI()</f>
        <v>22.422237768304562</v>
      </c>
      <c r="F9" s="150">
        <v>88.873</v>
      </c>
      <c r="G9" s="149">
        <f>SQRT(C9^2-7083.427)</f>
        <v>217.26843535129535</v>
      </c>
      <c r="H9" s="151">
        <f>C9*SIN(RADIANS(E9))-SQRT((C9*SIN(RADIANS(E9)))^2-(C9^2-(C9-D9)^2))</f>
        <v>60.32509063696587</v>
      </c>
      <c r="I9" s="193">
        <f>C9*SIN(RADIANS(E9))+SQRT((C9*SIN(RADIANS(E9)))^2-(C9^2-(C9-D9)^2))</f>
        <v>117.42090936303414</v>
      </c>
      <c r="J9" s="194" t="s">
        <v>53</v>
      </c>
      <c r="K9" s="195" t="s">
        <v>54</v>
      </c>
      <c r="L9" s="196"/>
      <c r="M9" s="197"/>
    </row>
    <row r="10" spans="1:13" ht="13.5">
      <c r="A10" s="140" t="s">
        <v>55</v>
      </c>
      <c r="B10" s="141"/>
      <c r="C10" s="152">
        <f>C8</f>
        <v>233</v>
      </c>
      <c r="D10" s="153">
        <f>C10-G10</f>
        <v>17.801489828691473</v>
      </c>
      <c r="E10" s="153">
        <f>DEGREES(ASIN((J13+J14)/(C10*(((J13+J14)/2)^2/(J13*J14)+1))))</f>
        <v>23.643865280336918</v>
      </c>
      <c r="F10" s="154">
        <f>C10*SIN(E10*PI()/180)</f>
        <v>93.4447610413159</v>
      </c>
      <c r="G10" s="153">
        <f>SQRT((I10*(C10^2+H10^2)-H10*(C10^2+I10^2))/(I10-H10))</f>
        <v>215.19851017130853</v>
      </c>
      <c r="H10" s="155">
        <f>2*J13*J14/((1+1/SQRT(2))*J14+(1-1/SQRT(2))*J13)</f>
        <v>65.99804637417564</v>
      </c>
      <c r="I10" s="155">
        <f>2*J13*J14/((1-1/SQRT(2))*J14+(1+1/SQRT(2))*J13)</f>
        <v>120.89147570845614</v>
      </c>
      <c r="J10" s="194" t="s">
        <v>53</v>
      </c>
      <c r="K10" s="198" t="s">
        <v>56</v>
      </c>
      <c r="L10" s="199"/>
      <c r="M10" s="200"/>
    </row>
    <row r="11" spans="1:13" ht="13.5">
      <c r="A11" s="140" t="s">
        <v>57</v>
      </c>
      <c r="B11" s="141"/>
      <c r="C11" s="152">
        <f>C8</f>
        <v>233</v>
      </c>
      <c r="D11" s="153">
        <f>C11-G11</f>
        <v>18.306186199728472</v>
      </c>
      <c r="E11" s="153">
        <f>DEGREES(ASIN((J13+J14)/(C11*(((J13+J14)/2)^2/(J13*J14)+1))))</f>
        <v>23.643865280336918</v>
      </c>
      <c r="F11" s="154">
        <f>C11*SIN(E11*PI()/180)</f>
        <v>93.4447610413159</v>
      </c>
      <c r="G11" s="153">
        <f>SQRT((I11*(C11^2+H11^2)-H11*(C11^2+I11^2))/(I11-H11))</f>
        <v>214.69381380027153</v>
      </c>
      <c r="H11" s="155">
        <f>F11-SQRT(F11^2-((3*J13*J14*(F11*(J13+J14)-J13*J14)))/(J13^2+J13*J14+J14^2))</f>
        <v>70.28537741017632</v>
      </c>
      <c r="I11" s="155">
        <f>F11+SQRT(F11^2-((3*J13*J14*(F11*(J13+J14)-J13*J14)))/(J13^2+J13*J14+J14^2))</f>
        <v>116.60414467245548</v>
      </c>
      <c r="J11" s="201" t="s">
        <v>53</v>
      </c>
      <c r="K11" s="202" t="s">
        <v>58</v>
      </c>
      <c r="L11" s="203"/>
      <c r="M11" s="204"/>
    </row>
    <row r="12" spans="1:10" ht="13.5">
      <c r="A12" s="133"/>
      <c r="B12" s="156" t="s">
        <v>59</v>
      </c>
      <c r="C12" s="157"/>
      <c r="D12" s="158">
        <v>10</v>
      </c>
      <c r="E12" s="159" t="s">
        <v>60</v>
      </c>
      <c r="F12" s="160"/>
      <c r="G12" s="135"/>
      <c r="H12" s="159"/>
      <c r="I12" s="205"/>
      <c r="J12" s="206" t="s">
        <v>61</v>
      </c>
    </row>
    <row r="13" spans="1:11" ht="13.5">
      <c r="A13" s="133"/>
      <c r="B13" s="161" t="s">
        <v>62</v>
      </c>
      <c r="C13" s="133"/>
      <c r="D13" s="133"/>
      <c r="E13" s="136"/>
      <c r="F13" s="161"/>
      <c r="G13" s="161"/>
      <c r="H13" s="162" t="s">
        <v>63</v>
      </c>
      <c r="I13" s="207"/>
      <c r="J13" s="208">
        <v>60.325</v>
      </c>
      <c r="K13" s="209" t="s">
        <v>64</v>
      </c>
    </row>
    <row r="14" spans="1:11" ht="13.5">
      <c r="A14" s="133"/>
      <c r="B14" s="161" t="s">
        <v>65</v>
      </c>
      <c r="C14" s="163"/>
      <c r="D14" s="134"/>
      <c r="E14" s="134"/>
      <c r="F14" s="161"/>
      <c r="G14" s="133"/>
      <c r="H14" s="164" t="s">
        <v>66</v>
      </c>
      <c r="I14" s="210"/>
      <c r="J14" s="211">
        <v>146.05</v>
      </c>
      <c r="K14" s="137" t="s">
        <v>67</v>
      </c>
    </row>
    <row r="15" spans="1:11" ht="13.5">
      <c r="A15" s="165"/>
      <c r="B15" s="166" t="s">
        <v>68</v>
      </c>
      <c r="C15" s="167"/>
      <c r="D15" s="166" t="s">
        <v>69</v>
      </c>
      <c r="E15" s="168"/>
      <c r="F15" s="166" t="s">
        <v>70</v>
      </c>
      <c r="G15" s="167"/>
      <c r="H15" s="169" t="s">
        <v>71</v>
      </c>
      <c r="I15" s="207"/>
      <c r="J15" s="212">
        <v>57.5</v>
      </c>
      <c r="K15" s="137" t="s">
        <v>72</v>
      </c>
    </row>
    <row r="16" spans="1:11" ht="13.5">
      <c r="A16" s="170" t="s">
        <v>73</v>
      </c>
      <c r="B16" s="171" t="s">
        <v>74</v>
      </c>
      <c r="C16" s="172" t="s">
        <v>75</v>
      </c>
      <c r="D16" s="171" t="s">
        <v>74</v>
      </c>
      <c r="E16" s="172" t="s">
        <v>75</v>
      </c>
      <c r="F16" s="171" t="s">
        <v>74</v>
      </c>
      <c r="G16" s="172" t="s">
        <v>75</v>
      </c>
      <c r="H16" s="173" t="s">
        <v>76</v>
      </c>
      <c r="I16" s="210"/>
      <c r="J16" s="213">
        <v>146.3</v>
      </c>
      <c r="K16" s="137"/>
    </row>
    <row r="17" spans="1:11" ht="13.5">
      <c r="A17" s="174" t="s">
        <v>77</v>
      </c>
      <c r="B17" s="175" t="s">
        <v>78</v>
      </c>
      <c r="C17" s="176" t="s">
        <v>79</v>
      </c>
      <c r="D17" s="175" t="s">
        <v>78</v>
      </c>
      <c r="E17" s="176" t="s">
        <v>79</v>
      </c>
      <c r="F17" s="175" t="s">
        <v>78</v>
      </c>
      <c r="G17" s="176" t="s">
        <v>79</v>
      </c>
      <c r="H17" s="169" t="s">
        <v>80</v>
      </c>
      <c r="I17" s="207"/>
      <c r="J17" s="212">
        <v>57.6</v>
      </c>
      <c r="K17" s="137" t="s">
        <v>81</v>
      </c>
    </row>
    <row r="18" spans="1:12" ht="13.5">
      <c r="A18" s="177" t="s">
        <v>82</v>
      </c>
      <c r="B18" s="178" t="s">
        <v>83</v>
      </c>
      <c r="C18" s="179" t="s">
        <v>83</v>
      </c>
      <c r="D18" s="178" t="s">
        <v>84</v>
      </c>
      <c r="E18" s="179" t="s">
        <v>84</v>
      </c>
      <c r="F18" s="178" t="s">
        <v>85</v>
      </c>
      <c r="G18" s="179" t="s">
        <v>85</v>
      </c>
      <c r="H18" s="173" t="s">
        <v>86</v>
      </c>
      <c r="I18" s="210"/>
      <c r="J18" s="213">
        <v>146.5</v>
      </c>
      <c r="K18" s="214"/>
      <c r="L18" s="215"/>
    </row>
    <row r="19" spans="1:11" ht="13.5">
      <c r="A19" s="180">
        <v>57.5</v>
      </c>
      <c r="B19" s="181">
        <f>ASIN(A19/2/$C$8+$C$8/A19*($D$8/$C$8-0.5*($D$8/$C$8)^2))*180/PI()-$E$8</f>
        <v>0.26933273244198475</v>
      </c>
      <c r="C19" s="182">
        <f>ABS(900*$D$12*TAN(B19*PI()/180)/(PI()*A19))</f>
        <v>0.23420410110717402</v>
      </c>
      <c r="D19" s="181">
        <f>ASIN(A19/2/$C$10+$C$10/A19*($D$10/$C$10-0.5*($D$10/$C$10)^2))*180/PI()-$E$10</f>
        <v>1.263670742074254</v>
      </c>
      <c r="E19" s="182">
        <f>ABS(900*$D$12*TAN(D19*PI()/180)/(PI()*A19))</f>
        <v>1.0990223293866321</v>
      </c>
      <c r="F19" s="181">
        <f>ASIN(A19/2/$C$11+$C$11/A19*($D$11/$C$11-0.5*($D$11/$C$11)^2))*180/PI()-$E$11</f>
        <v>1.7762555183945246</v>
      </c>
      <c r="G19" s="182">
        <f>ABS(900*$D$12*TAN(F19*PI()/180)/(PI()*A19))</f>
        <v>1.5450650316715908</v>
      </c>
      <c r="H19" s="132"/>
      <c r="I19" s="130"/>
      <c r="J19" s="130"/>
      <c r="K19" s="133"/>
    </row>
    <row r="20" spans="1:10" ht="13.5">
      <c r="A20" s="180">
        <v>58</v>
      </c>
      <c r="B20" s="181">
        <f aca="true" t="shared" si="0" ref="B20:B83">ASIN(A20/2/$C$8+$C$8/A20*($D$8/$C$8-0.5*($D$8/$C$8)^2))*180/PI()-$E$8</f>
        <v>0.2281260472086899</v>
      </c>
      <c r="C20" s="182">
        <f aca="true" t="shared" si="1" ref="C20:C83">ABS(900*$D$12*TAN(B20*PI()/180)/(PI()*A20))</f>
        <v>0.19666142473366607</v>
      </c>
      <c r="D20" s="181">
        <f>ASIN(A20/2/$C$10+$C$10/A20*($D$10/$C$10-0.5*($D$10/$C$10)^2))*180/PI()-$E$10</f>
        <v>1.1693302448875897</v>
      </c>
      <c r="E20" s="182">
        <f aca="true" t="shared" si="2" ref="E20:E83">ABS(900*$D$12*TAN(D20*PI()/180)/(PI()*A20))</f>
        <v>1.008183292435117</v>
      </c>
      <c r="F20" s="181">
        <f>ASIN(A20/2/$C$11+$C$11/A20*($D$11/$C$11-0.5*($D$11/$C$11)^2))*180/PI()-$E$11</f>
        <v>1.6770940682677953</v>
      </c>
      <c r="G20" s="182">
        <f aca="true" t="shared" si="3" ref="G20:G83">ABS(900*$D$12*TAN(F20*PI()/180)/(PI()*A20))</f>
        <v>1.4461837927979064</v>
      </c>
      <c r="H20" s="130"/>
      <c r="I20" s="130"/>
      <c r="J20" s="130"/>
    </row>
    <row r="21" spans="1:10" ht="13.5">
      <c r="A21" s="180">
        <v>59</v>
      </c>
      <c r="B21" s="181">
        <f t="shared" si="0"/>
        <v>0.15114229544543534</v>
      </c>
      <c r="C21" s="182">
        <f t="shared" si="1"/>
        <v>0.12808698816097527</v>
      </c>
      <c r="D21" s="181">
        <f>ASIN(A21/2/$C$10+$C$10/A21*($D$10/$C$10-0.5*($D$10/$C$10)^2))*180/PI()-$E$10</f>
        <v>0.9890909149680169</v>
      </c>
      <c r="E21" s="182">
        <f t="shared" si="2"/>
        <v>0.8382959142746625</v>
      </c>
      <c r="F21" s="181">
        <f>ASIN(A21/2/$C$11+$C$11/A21*($D$11/$C$11-0.5*($D$11/$C$11)^2))*180/PI()-$E$11</f>
        <v>1.4874987270614497</v>
      </c>
      <c r="G21" s="182">
        <f t="shared" si="3"/>
        <v>1.2608754362356882</v>
      </c>
      <c r="H21" s="132"/>
      <c r="I21" s="132"/>
      <c r="J21" s="132"/>
    </row>
    <row r="22" spans="1:10" ht="13.5">
      <c r="A22" s="180">
        <v>60</v>
      </c>
      <c r="B22" s="181">
        <f t="shared" si="0"/>
        <v>0.08108983837805184</v>
      </c>
      <c r="C22" s="182">
        <f t="shared" si="1"/>
        <v>0.06757491043325586</v>
      </c>
      <c r="D22" s="181">
        <f>ASIN(A22/2/$C$10+$C$10/A22*($D$10/$C$10-0.5*($D$10/$C$10)^2))*180/PI()-$E$10</f>
        <v>0.819608919257881</v>
      </c>
      <c r="E22" s="182">
        <f t="shared" si="2"/>
        <v>0.6830540243349156</v>
      </c>
      <c r="F22" s="181">
        <f>ASIN(A22/2/$C$11+$C$11/A22*($D$11/$C$11-0.5*($D$11/$C$11)^2))*180/PI()-$E$11</f>
        <v>1.309022870559403</v>
      </c>
      <c r="G22" s="182">
        <f t="shared" si="3"/>
        <v>1.0910422307770102</v>
      </c>
      <c r="H22" s="132"/>
      <c r="I22" s="132"/>
      <c r="J22" s="132"/>
    </row>
    <row r="23" spans="1:10" ht="13.5">
      <c r="A23" s="180">
        <v>61</v>
      </c>
      <c r="B23" s="181">
        <f t="shared" si="0"/>
        <v>0.017620846020506065</v>
      </c>
      <c r="C23" s="182">
        <f t="shared" si="1"/>
        <v>0.014443316865609884</v>
      </c>
      <c r="D23" s="181">
        <f aca="true" t="shared" si="4" ref="D23:D86">ASIN(A23/2/$C$10+$C$10/A23*($D$10/$C$10-0.5*($D$10/$C$10)^2))*180/PI()-$E$10</f>
        <v>0.660323597864771</v>
      </c>
      <c r="E23" s="182">
        <f t="shared" si="2"/>
        <v>0.5412728151429002</v>
      </c>
      <c r="F23" s="181">
        <f aca="true" t="shared" si="5" ref="F23:F86">ASIN(A23/2/$C$11+$C$11/A23*($D$11/$C$11-0.5*($D$11/$C$11)^2))*180/PI()-$E$11</f>
        <v>1.1410846040931801</v>
      </c>
      <c r="G23" s="182">
        <f t="shared" si="3"/>
        <v>0.9354389282937251</v>
      </c>
      <c r="H23" s="132"/>
      <c r="I23" s="132"/>
      <c r="J23" s="132"/>
    </row>
    <row r="24" spans="1:10" ht="13.5">
      <c r="A24" s="180">
        <v>62</v>
      </c>
      <c r="B24" s="181">
        <f t="shared" si="0"/>
        <v>-0.03958926253137918</v>
      </c>
      <c r="C24" s="182">
        <f t="shared" si="1"/>
        <v>0.031926829703020534</v>
      </c>
      <c r="D24" s="181">
        <f t="shared" si="4"/>
        <v>0.5107134167775307</v>
      </c>
      <c r="E24" s="182">
        <f t="shared" si="2"/>
        <v>0.4118765669997482</v>
      </c>
      <c r="F24" s="181">
        <f t="shared" si="5"/>
        <v>0.9831428371997006</v>
      </c>
      <c r="G24" s="182">
        <f t="shared" si="3"/>
        <v>0.7929349506406788</v>
      </c>
      <c r="H24" s="132"/>
      <c r="I24" s="132"/>
      <c r="J24" s="132"/>
    </row>
    <row r="25" spans="1:10" ht="13.5">
      <c r="A25" s="180">
        <v>63</v>
      </c>
      <c r="B25" s="181">
        <f t="shared" si="0"/>
        <v>-0.09084373813571389</v>
      </c>
      <c r="C25" s="182">
        <f t="shared" si="1"/>
        <v>0.07209826528511254</v>
      </c>
      <c r="D25" s="181">
        <f t="shared" si="4"/>
        <v>0.37029256655146625</v>
      </c>
      <c r="E25" s="182">
        <f t="shared" si="2"/>
        <v>0.2938870810396451</v>
      </c>
      <c r="F25" s="181">
        <f t="shared" si="5"/>
        <v>0.8346937159085677</v>
      </c>
      <c r="G25" s="182">
        <f t="shared" si="3"/>
        <v>0.66250219860586</v>
      </c>
      <c r="H25" s="132"/>
      <c r="I25" s="132"/>
      <c r="J25" s="132"/>
    </row>
    <row r="26" spans="1:10" ht="13.5">
      <c r="A26" s="180">
        <v>64</v>
      </c>
      <c r="B26" s="181">
        <f t="shared" si="0"/>
        <v>-0.13642623245726426</v>
      </c>
      <c r="C26" s="182">
        <f t="shared" si="1"/>
        <v>0.10658319553445511</v>
      </c>
      <c r="D26" s="181">
        <f t="shared" si="4"/>
        <v>0.23860791487392063</v>
      </c>
      <c r="E26" s="182">
        <f t="shared" si="2"/>
        <v>0.18641351115350632</v>
      </c>
      <c r="F26" s="181">
        <f t="shared" si="5"/>
        <v>0.6952674286690694</v>
      </c>
      <c r="G26" s="182">
        <f t="shared" si="3"/>
        <v>0.5432043413856946</v>
      </c>
      <c r="H26" s="132"/>
      <c r="I26" s="132"/>
      <c r="J26" s="132"/>
    </row>
    <row r="27" spans="1:10" ht="13.5">
      <c r="A27" s="180">
        <v>65</v>
      </c>
      <c r="B27" s="181">
        <f t="shared" si="0"/>
        <v>-0.17660236194729606</v>
      </c>
      <c r="C27" s="182">
        <f t="shared" si="1"/>
        <v>0.1358484009394823</v>
      </c>
      <c r="D27" s="181">
        <f t="shared" si="4"/>
        <v>0.1152362702026899</v>
      </c>
      <c r="E27" s="182">
        <f t="shared" si="2"/>
        <v>0.08864340429620583</v>
      </c>
      <c r="F27" s="181">
        <f t="shared" si="5"/>
        <v>0.5644253403887269</v>
      </c>
      <c r="G27" s="182">
        <f t="shared" si="3"/>
        <v>0.4341873839142997</v>
      </c>
      <c r="H27" s="132"/>
      <c r="I27" s="132"/>
      <c r="J27" s="132"/>
    </row>
    <row r="28" spans="1:10" ht="13.5">
      <c r="A28" s="180">
        <v>66</v>
      </c>
      <c r="B28" s="181">
        <f t="shared" si="0"/>
        <v>-0.21162112353082918</v>
      </c>
      <c r="C28" s="182">
        <f t="shared" si="1"/>
        <v>0.16031976199710105</v>
      </c>
      <c r="D28" s="181">
        <f t="shared" si="4"/>
        <v>-0.0002180804373139722</v>
      </c>
      <c r="E28" s="182">
        <f t="shared" si="2"/>
        <v>0.00016521245251138283</v>
      </c>
      <c r="F28" s="181">
        <f t="shared" si="5"/>
        <v>0.44175741537218727</v>
      </c>
      <c r="G28" s="182">
        <f t="shared" si="3"/>
        <v>0.33467134026260476</v>
      </c>
      <c r="H28" s="132"/>
      <c r="I28" s="132"/>
      <c r="J28" s="132"/>
    </row>
    <row r="29" spans="1:10" ht="13.5">
      <c r="A29" s="180">
        <v>67</v>
      </c>
      <c r="B29" s="181">
        <f t="shared" si="0"/>
        <v>-0.2417161782413686</v>
      </c>
      <c r="C29" s="182">
        <f t="shared" si="1"/>
        <v>0.18038627780334693</v>
      </c>
      <c r="D29" s="181">
        <f t="shared" si="4"/>
        <v>-0.10812559142851796</v>
      </c>
      <c r="E29" s="182">
        <f t="shared" si="2"/>
        <v>0.0806908356608407</v>
      </c>
      <c r="F29" s="181">
        <f t="shared" si="5"/>
        <v>0.32687989528547945</v>
      </c>
      <c r="G29" s="182">
        <f t="shared" si="3"/>
        <v>0.24394286702725337</v>
      </c>
      <c r="H29" s="132"/>
      <c r="I29" s="132"/>
      <c r="J29" s="132"/>
    </row>
    <row r="30" spans="1:10" ht="13.5">
      <c r="A30" s="180">
        <v>68</v>
      </c>
      <c r="B30" s="181">
        <f t="shared" si="0"/>
        <v>-0.267107017030753</v>
      </c>
      <c r="C30" s="182">
        <f t="shared" si="1"/>
        <v>0.19640364123898163</v>
      </c>
      <c r="D30" s="181">
        <f t="shared" si="4"/>
        <v>-0.208833464004055</v>
      </c>
      <c r="E30" s="182">
        <f t="shared" si="2"/>
        <v>0.15355469763163404</v>
      </c>
      <c r="F30" s="181">
        <f t="shared" si="5"/>
        <v>0.2194332027927679</v>
      </c>
      <c r="G30" s="182">
        <f t="shared" si="3"/>
        <v>0.1613487320976252</v>
      </c>
      <c r="H30" s="132"/>
      <c r="I30" s="132"/>
      <c r="J30" s="132"/>
    </row>
    <row r="31" spans="1:10" ht="13.5">
      <c r="A31" s="180">
        <v>69</v>
      </c>
      <c r="B31" s="181">
        <f t="shared" si="0"/>
        <v>-0.2880000212474876</v>
      </c>
      <c r="C31" s="182">
        <f t="shared" si="1"/>
        <v>0.20869742523660584</v>
      </c>
      <c r="D31" s="181">
        <f t="shared" si="4"/>
        <v>-0.30266746125419175</v>
      </c>
      <c r="E31" s="182">
        <f t="shared" si="2"/>
        <v>0.2193262874090762</v>
      </c>
      <c r="F31" s="181">
        <f t="shared" si="5"/>
        <v>0.11908004535956707</v>
      </c>
      <c r="G31" s="182">
        <f t="shared" si="3"/>
        <v>0.0862900121847694</v>
      </c>
      <c r="H31" s="132"/>
      <c r="I31" s="132"/>
      <c r="J31" s="132"/>
    </row>
    <row r="32" spans="1:10" ht="13.5">
      <c r="A32" s="180">
        <v>70</v>
      </c>
      <c r="B32" s="181">
        <f t="shared" si="0"/>
        <v>-0.3045894287777422</v>
      </c>
      <c r="C32" s="182">
        <f t="shared" si="1"/>
        <v>0.21756592723100093</v>
      </c>
      <c r="D32" s="181">
        <f t="shared" si="4"/>
        <v>-0.38993355371080796</v>
      </c>
      <c r="E32" s="182">
        <f t="shared" si="2"/>
        <v>0.27852826710321316</v>
      </c>
      <c r="F32" s="181">
        <f t="shared" si="5"/>
        <v>0.025503696998029568</v>
      </c>
      <c r="G32" s="182">
        <f t="shared" si="3"/>
        <v>0.01821692763030047</v>
      </c>
      <c r="H32" s="132"/>
      <c r="I32" s="132"/>
      <c r="J32" s="132"/>
    </row>
    <row r="33" spans="1:10" ht="13.5">
      <c r="A33" s="180">
        <v>71</v>
      </c>
      <c r="B33" s="181">
        <f t="shared" si="0"/>
        <v>-0.31705821554467306</v>
      </c>
      <c r="C33" s="182">
        <f t="shared" si="1"/>
        <v>0.22328271260372023</v>
      </c>
      <c r="D33" s="181">
        <f t="shared" si="4"/>
        <v>-0.4709194138864454</v>
      </c>
      <c r="E33" s="182">
        <f t="shared" si="2"/>
        <v>0.3316408579292736</v>
      </c>
      <c r="F33" s="181">
        <f t="shared" si="5"/>
        <v>-0.0615935614608496</v>
      </c>
      <c r="G33" s="182">
        <f t="shared" si="3"/>
        <v>0.0433757642166724</v>
      </c>
      <c r="H33" s="132"/>
      <c r="I33" s="132"/>
      <c r="J33" s="132"/>
    </row>
    <row r="34" spans="1:10" ht="13.5">
      <c r="A34" s="180">
        <v>72</v>
      </c>
      <c r="B34" s="181">
        <f t="shared" si="0"/>
        <v>-0.3255789009337633</v>
      </c>
      <c r="C34" s="182">
        <f t="shared" si="1"/>
        <v>0.2260988925602589</v>
      </c>
      <c r="D34" s="181">
        <f t="shared" si="4"/>
        <v>-0.5458957758766836</v>
      </c>
      <c r="E34" s="182">
        <f t="shared" si="2"/>
        <v>0.37910576019099335</v>
      </c>
      <c r="F34" s="181">
        <f t="shared" si="5"/>
        <v>-0.14249186057180907</v>
      </c>
      <c r="G34" s="182">
        <f t="shared" si="3"/>
        <v>0.09895288495831354</v>
      </c>
      <c r="H34" s="132"/>
      <c r="I34" s="132"/>
      <c r="J34" s="132"/>
    </row>
    <row r="35" spans="1:10" ht="13.5">
      <c r="A35" s="180">
        <v>73</v>
      </c>
      <c r="B35" s="181">
        <f t="shared" si="0"/>
        <v>-0.33031428473044855</v>
      </c>
      <c r="C35" s="182">
        <f t="shared" si="1"/>
        <v>0.22624516727864355</v>
      </c>
      <c r="D35" s="181">
        <f t="shared" si="4"/>
        <v>-0.6151176741802082</v>
      </c>
      <c r="E35" s="182">
        <f t="shared" si="2"/>
        <v>0.4213296627975515</v>
      </c>
      <c r="F35" s="181">
        <f t="shared" si="5"/>
        <v>-0.2174550338846295</v>
      </c>
      <c r="G35" s="182">
        <f t="shared" si="3"/>
        <v>0.14894251917131532</v>
      </c>
      <c r="H35" s="132"/>
      <c r="I35" s="132"/>
      <c r="J35" s="132"/>
    </row>
    <row r="36" spans="1:10" ht="13.5">
      <c r="A36" s="180">
        <v>74</v>
      </c>
      <c r="B36" s="181">
        <f t="shared" si="0"/>
        <v>-0.331418122299759</v>
      </c>
      <c r="C36" s="182">
        <f t="shared" si="1"/>
        <v>0.22393366122087144</v>
      </c>
      <c r="D36" s="181">
        <f t="shared" si="4"/>
        <v>-0.6788255742016354</v>
      </c>
      <c r="E36" s="182">
        <f t="shared" si="2"/>
        <v>0.4586873905416383</v>
      </c>
      <c r="F36" s="181">
        <f t="shared" si="5"/>
        <v>-0.286731796093445</v>
      </c>
      <c r="G36" s="182">
        <f t="shared" si="3"/>
        <v>0.19373931741190312</v>
      </c>
      <c r="H36" s="132"/>
      <c r="I36" s="132"/>
      <c r="J36" s="132"/>
    </row>
    <row r="37" spans="1:10" ht="13.5">
      <c r="A37" s="180">
        <v>75</v>
      </c>
      <c r="B37" s="181">
        <f t="shared" si="0"/>
        <v>-0.3290357439892837</v>
      </c>
      <c r="C37" s="182">
        <f t="shared" si="1"/>
        <v>0.21935957410355955</v>
      </c>
      <c r="D37" s="181">
        <f t="shared" si="4"/>
        <v>-0.7372464054389489</v>
      </c>
      <c r="E37" s="182">
        <f t="shared" si="2"/>
        <v>0.49152473107623595</v>
      </c>
      <c r="F37" s="181">
        <f t="shared" si="5"/>
        <v>-0.35055681931052973</v>
      </c>
      <c r="G37" s="182">
        <f t="shared" si="3"/>
        <v>0.2337074624518628</v>
      </c>
      <c r="H37" s="132"/>
      <c r="I37" s="132"/>
      <c r="J37" s="132"/>
    </row>
    <row r="38" spans="1:10" ht="13.5">
      <c r="A38" s="180">
        <v>76</v>
      </c>
      <c r="B38" s="181">
        <f t="shared" si="0"/>
        <v>-0.32330462408070915</v>
      </c>
      <c r="C38" s="182">
        <f t="shared" si="1"/>
        <v>0.21270266809715682</v>
      </c>
      <c r="D38" s="181">
        <f t="shared" si="4"/>
        <v>-0.790594507086162</v>
      </c>
      <c r="E38" s="182">
        <f t="shared" si="2"/>
        <v>0.5201609781392554</v>
      </c>
      <c r="F38" s="181">
        <f t="shared" si="5"/>
        <v>-0.40915171770263825</v>
      </c>
      <c r="G38" s="182">
        <f t="shared" si="3"/>
        <v>0.2691833372868904</v>
      </c>
      <c r="H38" s="132"/>
      <c r="I38" s="132"/>
      <c r="J38" s="132"/>
    </row>
    <row r="39" spans="1:10" ht="13.5">
      <c r="A39" s="180">
        <v>77</v>
      </c>
      <c r="B39" s="181">
        <f t="shared" si="0"/>
        <v>-0.31435490403973176</v>
      </c>
      <c r="C39" s="182">
        <f t="shared" si="1"/>
        <v>0.20412860929469326</v>
      </c>
      <c r="D39" s="181">
        <f t="shared" si="4"/>
        <v>-0.8390724946748804</v>
      </c>
      <c r="E39" s="182">
        <f t="shared" si="2"/>
        <v>0.5448912229475901</v>
      </c>
      <c r="F39" s="181">
        <f t="shared" si="5"/>
        <v>-0.4627259495571856</v>
      </c>
      <c r="G39" s="182">
        <f t="shared" si="3"/>
        <v>0.3004779285606012</v>
      </c>
      <c r="H39" s="132"/>
      <c r="I39" s="132"/>
      <c r="J39" s="132"/>
    </row>
    <row r="40" spans="1:10" ht="13.5">
      <c r="A40" s="180">
        <v>78</v>
      </c>
      <c r="B40" s="181">
        <f t="shared" si="0"/>
        <v>-0.3023098743076531</v>
      </c>
      <c r="C40" s="182">
        <f t="shared" si="1"/>
        <v>0.19379017930193984</v>
      </c>
      <c r="D40" s="181">
        <f t="shared" si="4"/>
        <v>-0.8828720554130456</v>
      </c>
      <c r="E40" s="182">
        <f t="shared" si="2"/>
        <v>0.5659884216987859</v>
      </c>
      <c r="F40" s="181">
        <f t="shared" si="5"/>
        <v>-0.511477644824371</v>
      </c>
      <c r="G40" s="182">
        <f t="shared" si="3"/>
        <v>0.32787899483379956</v>
      </c>
      <c r="H40" s="132"/>
      <c r="I40" s="132"/>
      <c r="J40" s="132"/>
    </row>
    <row r="41" spans="1:10" ht="13.5">
      <c r="A41" s="180">
        <v>79</v>
      </c>
      <c r="B41" s="181">
        <f t="shared" si="0"/>
        <v>-0.2872864184318793</v>
      </c>
      <c r="C41" s="182">
        <f t="shared" si="1"/>
        <v>0.18182837090203685</v>
      </c>
      <c r="D41" s="181">
        <f t="shared" si="4"/>
        <v>-0.9221746790337839</v>
      </c>
      <c r="E41" s="182">
        <f t="shared" si="2"/>
        <v>0.5837052636807176</v>
      </c>
      <c r="F41" s="181">
        <f t="shared" si="5"/>
        <v>-0.5555943652893944</v>
      </c>
      <c r="G41" s="182">
        <f t="shared" si="3"/>
        <v>0.35165302549541727</v>
      </c>
      <c r="H41" s="132"/>
      <c r="I41" s="132"/>
      <c r="J41" s="132"/>
    </row>
    <row r="42" spans="1:10" ht="13.5">
      <c r="A42" s="180">
        <v>80</v>
      </c>
      <c r="B42" s="181">
        <f t="shared" si="0"/>
        <v>-0.26939542293863283</v>
      </c>
      <c r="C42" s="182">
        <f t="shared" si="1"/>
        <v>0.16837338009719502</v>
      </c>
      <c r="D42" s="181">
        <f t="shared" si="4"/>
        <v>-0.957152330227224</v>
      </c>
      <c r="E42" s="182">
        <f t="shared" si="2"/>
        <v>0.598275861517127</v>
      </c>
      <c r="F42" s="181">
        <f t="shared" si="5"/>
        <v>-0.5952538037470738</v>
      </c>
      <c r="G42" s="182">
        <f t="shared" si="3"/>
        <v>0.3720470129709938</v>
      </c>
      <c r="H42" s="132"/>
      <c r="I42" s="130"/>
      <c r="J42" s="132"/>
    </row>
    <row r="43" spans="1:10" ht="13.5">
      <c r="A43" s="180">
        <v>81</v>
      </c>
      <c r="B43" s="181">
        <f t="shared" si="0"/>
        <v>-0.2487421560029084</v>
      </c>
      <c r="C43" s="182">
        <f t="shared" si="1"/>
        <v>0.15354550539287892</v>
      </c>
      <c r="D43" s="181">
        <f t="shared" si="4"/>
        <v>-0.9879680680775884</v>
      </c>
      <c r="E43" s="182">
        <f t="shared" si="2"/>
        <v>0.6099172825001784</v>
      </c>
      <c r="F43" s="181">
        <f t="shared" si="5"/>
        <v>-0.6306244278655839</v>
      </c>
      <c r="G43" s="182">
        <f t="shared" si="3"/>
        <v>0.38929005816467127</v>
      </c>
      <c r="H43" s="132"/>
      <c r="I43" s="132"/>
      <c r="J43" s="132"/>
    </row>
    <row r="44" spans="1:10" ht="13.5">
      <c r="A44" s="180">
        <v>82</v>
      </c>
      <c r="B44" s="181">
        <f t="shared" si="0"/>
        <v>-0.22542661766209804</v>
      </c>
      <c r="C44" s="182">
        <f t="shared" si="1"/>
        <v>0.13745596393599324</v>
      </c>
      <c r="D44" s="181">
        <f t="shared" si="4"/>
        <v>-1.0147766173554764</v>
      </c>
      <c r="E44" s="182">
        <f t="shared" si="2"/>
        <v>0.6188309377233193</v>
      </c>
      <c r="F44" s="181">
        <f t="shared" si="5"/>
        <v>-0.6618660738226652</v>
      </c>
      <c r="G44" s="182">
        <f t="shared" si="3"/>
        <v>0.4035948267093729</v>
      </c>
      <c r="H44" s="132"/>
      <c r="I44" s="132"/>
      <c r="J44" s="132"/>
    </row>
    <row r="45" spans="1:10" ht="13.5">
      <c r="A45" s="180">
        <v>83</v>
      </c>
      <c r="B45" s="181">
        <f t="shared" si="0"/>
        <v>-0.19954386404581825</v>
      </c>
      <c r="C45" s="182">
        <f t="shared" si="1"/>
        <v>0.1202076330226745</v>
      </c>
      <c r="D45" s="181">
        <f t="shared" si="4"/>
        <v>-1.0377248960102925</v>
      </c>
      <c r="E45" s="182">
        <f t="shared" si="2"/>
        <v>0.6252038437799333</v>
      </c>
      <c r="F45" s="181">
        <f t="shared" si="5"/>
        <v>-0.6891304942660739</v>
      </c>
      <c r="G45" s="182">
        <f t="shared" si="3"/>
        <v>0.4151588715459382</v>
      </c>
      <c r="H45" s="132"/>
      <c r="I45" s="132"/>
      <c r="J45" s="132"/>
    </row>
    <row r="46" spans="1:10" ht="13.5">
      <c r="A46" s="180">
        <v>84</v>
      </c>
      <c r="B46" s="181">
        <f t="shared" si="0"/>
        <v>-0.17118430785124872</v>
      </c>
      <c r="C46" s="182">
        <f t="shared" si="1"/>
        <v>0.10189572453193488</v>
      </c>
      <c r="D46" s="181">
        <f t="shared" si="4"/>
        <v>-1.0569525027620834</v>
      </c>
      <c r="E46" s="182">
        <f t="shared" si="2"/>
        <v>0.6292097700949709</v>
      </c>
      <c r="F46" s="181">
        <f t="shared" si="5"/>
        <v>-0.7125618646808611</v>
      </c>
      <c r="G46" s="182">
        <f t="shared" si="3"/>
        <v>0.42416583556189663</v>
      </c>
      <c r="H46" s="132"/>
      <c r="I46" s="132"/>
      <c r="J46" s="132"/>
    </row>
    <row r="47" spans="1:10" ht="13.5">
      <c r="A47" s="180">
        <v>85</v>
      </c>
      <c r="B47" s="181">
        <f t="shared" si="0"/>
        <v>-0.1404339970764532</v>
      </c>
      <c r="C47" s="182">
        <f t="shared" si="1"/>
        <v>0.08260839899985296</v>
      </c>
      <c r="D47" s="181">
        <f t="shared" si="4"/>
        <v>-1.072592168297053</v>
      </c>
      <c r="E47" s="182">
        <f t="shared" si="2"/>
        <v>0.6310102834726055</v>
      </c>
      <c r="F47" s="181">
        <f t="shared" si="5"/>
        <v>-0.7322972518306017</v>
      </c>
      <c r="G47" s="182">
        <f t="shared" si="3"/>
        <v>0.4307865464570118</v>
      </c>
      <c r="H47" s="132"/>
      <c r="I47" s="132"/>
      <c r="J47" s="132"/>
    </row>
    <row r="48" spans="1:10" ht="13.5">
      <c r="A48" s="180">
        <v>86</v>
      </c>
      <c r="B48" s="181">
        <f t="shared" si="0"/>
        <v>-0.10737487383102362</v>
      </c>
      <c r="C48" s="182">
        <f t="shared" si="1"/>
        <v>0.06242732530988105</v>
      </c>
      <c r="D48" s="181">
        <f t="shared" si="4"/>
        <v>-1.0847701732210382</v>
      </c>
      <c r="E48" s="182">
        <f t="shared" si="2"/>
        <v>0.6307557001439867</v>
      </c>
      <c r="F48" s="181">
        <f t="shared" si="5"/>
        <v>-0.7484670475721522</v>
      </c>
      <c r="G48" s="182">
        <f t="shared" si="3"/>
        <v>0.43518001463509864</v>
      </c>
      <c r="H48" s="132"/>
      <c r="I48" s="132"/>
      <c r="J48" s="132"/>
    </row>
    <row r="49" spans="1:10" ht="13.5">
      <c r="A49" s="180">
        <v>87</v>
      </c>
      <c r="B49" s="181">
        <f t="shared" si="0"/>
        <v>-0.07208501487097152</v>
      </c>
      <c r="C49" s="182">
        <f t="shared" si="1"/>
        <v>0.04142819132453172</v>
      </c>
      <c r="D49" s="181">
        <f t="shared" si="4"/>
        <v>-1.0936067356143866</v>
      </c>
      <c r="E49" s="182">
        <f t="shared" si="2"/>
        <v>0.6285859544600809</v>
      </c>
      <c r="F49" s="181">
        <f t="shared" si="5"/>
        <v>-0.7611953710167683</v>
      </c>
      <c r="G49" s="182">
        <f t="shared" si="3"/>
        <v>0.4374943437225251</v>
      </c>
      <c r="H49" s="132"/>
      <c r="I49" s="132"/>
      <c r="J49" s="132"/>
    </row>
    <row r="50" spans="1:10" ht="13.5">
      <c r="A50" s="180">
        <v>88</v>
      </c>
      <c r="B50" s="181">
        <f t="shared" si="0"/>
        <v>-0.034638855350412</v>
      </c>
      <c r="C50" s="182">
        <f t="shared" si="1"/>
        <v>0.019681170210525904</v>
      </c>
      <c r="D50" s="181">
        <f t="shared" si="4"/>
        <v>-1.0992163707551406</v>
      </c>
      <c r="E50" s="182">
        <f t="shared" si="2"/>
        <v>0.6246313923739677</v>
      </c>
      <c r="F50" s="181">
        <f t="shared" si="5"/>
        <v>-0.7706004417199992</v>
      </c>
      <c r="G50" s="182">
        <f t="shared" si="3"/>
        <v>0.43786756226099705</v>
      </c>
      <c r="H50" s="132"/>
      <c r="I50" s="132"/>
      <c r="J50" s="132"/>
    </row>
    <row r="51" spans="1:10" ht="13.5">
      <c r="A51" s="180">
        <v>89</v>
      </c>
      <c r="B51" s="181">
        <f t="shared" si="0"/>
        <v>0.0048926028555058565</v>
      </c>
      <c r="C51" s="182">
        <f t="shared" si="1"/>
        <v>0.002748653296290907</v>
      </c>
      <c r="D51" s="181">
        <f t="shared" si="4"/>
        <v>-1.1017082253307429</v>
      </c>
      <c r="E51" s="182">
        <f t="shared" si="2"/>
        <v>0.6190134969763272</v>
      </c>
      <c r="F51" s="181">
        <f t="shared" si="5"/>
        <v>-0.7767949263242997</v>
      </c>
      <c r="G51" s="182">
        <f t="shared" si="3"/>
        <v>0.43642838419625773</v>
      </c>
      <c r="H51" s="132"/>
      <c r="I51" s="132"/>
      <c r="J51" s="132"/>
    </row>
    <row r="52" spans="1:10" ht="13.5">
      <c r="A52" s="180">
        <v>90</v>
      </c>
      <c r="B52" s="181">
        <f t="shared" si="0"/>
        <v>0.046441597025904</v>
      </c>
      <c r="C52" s="182">
        <f t="shared" si="1"/>
        <v>0.025800892887056705</v>
      </c>
      <c r="D52" s="181">
        <f t="shared" si="4"/>
        <v>-1.1011863882386592</v>
      </c>
      <c r="E52" s="182">
        <f t="shared" si="2"/>
        <v>0.6118455525718712</v>
      </c>
      <c r="F52" s="181">
        <f t="shared" si="5"/>
        <v>-0.7798862608475083</v>
      </c>
      <c r="G52" s="182">
        <f t="shared" si="3"/>
        <v>0.4332969049683708</v>
      </c>
      <c r="H52" s="132"/>
      <c r="I52" s="132"/>
      <c r="J52" s="132"/>
    </row>
    <row r="53" spans="1:10" ht="13.5">
      <c r="A53" s="180">
        <v>91</v>
      </c>
      <c r="B53" s="181">
        <f t="shared" si="0"/>
        <v>0.08994342254821674</v>
      </c>
      <c r="C53" s="182">
        <f t="shared" si="1"/>
        <v>0.049419503533412665</v>
      </c>
      <c r="D53" s="181">
        <f t="shared" si="4"/>
        <v>-1.097750179879668</v>
      </c>
      <c r="E53" s="182">
        <f t="shared" si="2"/>
        <v>0.6032332530993433</v>
      </c>
      <c r="F53" s="181">
        <f t="shared" si="5"/>
        <v>-0.779976950604155</v>
      </c>
      <c r="G53" s="182">
        <f t="shared" si="3"/>
        <v>0.4285852392891793</v>
      </c>
      <c r="H53" s="132"/>
      <c r="I53" s="132"/>
      <c r="J53" s="132"/>
    </row>
    <row r="54" spans="1:10" ht="13.5">
      <c r="A54" s="180">
        <v>92</v>
      </c>
      <c r="B54" s="181">
        <f t="shared" si="0"/>
        <v>0.1353362639318938</v>
      </c>
      <c r="C54" s="182">
        <f t="shared" si="1"/>
        <v>0.07355245414581045</v>
      </c>
      <c r="D54" s="181">
        <f t="shared" si="4"/>
        <v>-1.0914944216714204</v>
      </c>
      <c r="E54" s="182">
        <f t="shared" si="2"/>
        <v>0.5932752600918849</v>
      </c>
      <c r="F54" s="181">
        <f t="shared" si="5"/>
        <v>-0.7771648495623289</v>
      </c>
      <c r="G54" s="182">
        <f t="shared" si="3"/>
        <v>0.42239810605621114</v>
      </c>
      <c r="H54" s="132"/>
      <c r="I54" s="132"/>
      <c r="J54" s="132"/>
    </row>
    <row r="55" spans="1:10" ht="13.5">
      <c r="A55" s="180">
        <v>93</v>
      </c>
      <c r="B55" s="181">
        <f t="shared" si="0"/>
        <v>0.1825610369523325</v>
      </c>
      <c r="C55" s="182">
        <f t="shared" si="1"/>
        <v>0.09815142729508883</v>
      </c>
      <c r="D55" s="181">
        <f t="shared" si="4"/>
        <v>-1.0825096873520401</v>
      </c>
      <c r="E55" s="182">
        <f t="shared" si="2"/>
        <v>0.5820637148381288</v>
      </c>
      <c r="F55" s="181">
        <f t="shared" si="5"/>
        <v>-0.7715434207733232</v>
      </c>
      <c r="G55" s="182">
        <f t="shared" si="3"/>
        <v>0.4148333652887537</v>
      </c>
      <c r="H55" s="132"/>
      <c r="I55" s="132"/>
      <c r="J55" s="132"/>
    </row>
    <row r="56" spans="1:10" ht="13.5">
      <c r="A56" s="180">
        <v>94</v>
      </c>
      <c r="B56" s="181">
        <f t="shared" si="0"/>
        <v>0.23156124107701004</v>
      </c>
      <c r="C56" s="182">
        <f t="shared" si="1"/>
        <v>0.12317154353264387</v>
      </c>
      <c r="D56" s="181">
        <f t="shared" si="4"/>
        <v>-1.0708825375020794</v>
      </c>
      <c r="E56" s="182">
        <f t="shared" si="2"/>
        <v>0.5696847089287946</v>
      </c>
      <c r="F56" s="181">
        <f t="shared" si="5"/>
        <v>-0.7632019793631954</v>
      </c>
      <c r="G56" s="182">
        <f t="shared" si="3"/>
        <v>0.40598251147245923</v>
      </c>
      <c r="H56" s="132"/>
      <c r="I56" s="132"/>
      <c r="J56" s="132"/>
    </row>
    <row r="57" spans="1:10" ht="13.5">
      <c r="A57" s="180">
        <v>95</v>
      </c>
      <c r="B57" s="181">
        <f t="shared" si="0"/>
        <v>0.28228282139901495</v>
      </c>
      <c r="C57" s="182">
        <f t="shared" si="1"/>
        <v>0.148571108090756</v>
      </c>
      <c r="D57" s="181">
        <f t="shared" si="4"/>
        <v>-1.0566957385854217</v>
      </c>
      <c r="E57" s="182">
        <f t="shared" si="2"/>
        <v>0.5562187169508933</v>
      </c>
      <c r="F57" s="181">
        <f t="shared" si="5"/>
        <v>-0.7522259194419547</v>
      </c>
      <c r="G57" s="182">
        <f t="shared" si="3"/>
        <v>0.39593112725526874</v>
      </c>
      <c r="H57" s="132"/>
      <c r="I57" s="132"/>
      <c r="J57" s="132"/>
    </row>
    <row r="58" spans="1:10" ht="13.5">
      <c r="A58" s="180">
        <v>96</v>
      </c>
      <c r="B58" s="181">
        <f t="shared" si="0"/>
        <v>0.3346740393693217</v>
      </c>
      <c r="C58" s="182">
        <f t="shared" si="1"/>
        <v>0.17431137796404267</v>
      </c>
      <c r="D58" s="181">
        <f t="shared" si="4"/>
        <v>-1.040028467695425</v>
      </c>
      <c r="E58" s="182">
        <f t="shared" si="2"/>
        <v>0.5417409947161123</v>
      </c>
      <c r="F58" s="181">
        <f t="shared" si="5"/>
        <v>-0.7386969261663197</v>
      </c>
      <c r="G58" s="182">
        <f t="shared" si="3"/>
        <v>0.3847593010432317</v>
      </c>
      <c r="H58" s="132"/>
      <c r="I58" s="132"/>
      <c r="J58" s="132"/>
    </row>
    <row r="59" spans="1:10" ht="13.5">
      <c r="A59" s="180">
        <v>97</v>
      </c>
      <c r="B59" s="181">
        <f t="shared" si="0"/>
        <v>0.3886853516790616</v>
      </c>
      <c r="C59" s="182">
        <f t="shared" si="1"/>
        <v>0.20035634756879567</v>
      </c>
      <c r="D59" s="181">
        <f t="shared" si="4"/>
        <v>-1.02095650408884</v>
      </c>
      <c r="E59" s="182">
        <f t="shared" si="2"/>
        <v>0.5263219460751293</v>
      </c>
      <c r="F59" s="181">
        <f t="shared" si="5"/>
        <v>-0.7226931740837088</v>
      </c>
      <c r="G59" s="182">
        <f t="shared" si="3"/>
        <v>0.3725420116936034</v>
      </c>
      <c r="H59" s="132"/>
      <c r="I59" s="132"/>
      <c r="J59" s="132"/>
    </row>
    <row r="60" spans="1:10" ht="13.5">
      <c r="A60" s="180">
        <v>98</v>
      </c>
      <c r="B60" s="181">
        <f t="shared" si="0"/>
        <v>0.44426929669736026</v>
      </c>
      <c r="C60" s="182">
        <f t="shared" si="1"/>
        <v>0.22667255135188258</v>
      </c>
      <c r="D60" s="181">
        <f t="shared" si="4"/>
        <v>-0.9995524084972978</v>
      </c>
      <c r="E60" s="182">
        <f t="shared" si="2"/>
        <v>0.5100274610715149</v>
      </c>
      <c r="F60" s="181">
        <f t="shared" si="5"/>
        <v>-0.7042895127880513</v>
      </c>
      <c r="G60" s="182">
        <f t="shared" si="3"/>
        <v>0.359349483189848</v>
      </c>
      <c r="H60" s="132"/>
      <c r="I60" s="132"/>
      <c r="J60" s="132"/>
    </row>
    <row r="61" spans="1:10" ht="13.5">
      <c r="A61" s="180">
        <v>99</v>
      </c>
      <c r="B61" s="181">
        <f t="shared" si="0"/>
        <v>0.5013803879192444</v>
      </c>
      <c r="C61" s="182">
        <f t="shared" si="1"/>
        <v>0.25322888187716414</v>
      </c>
      <c r="D61" s="181">
        <f t="shared" si="4"/>
        <v>-0.9758856911213201</v>
      </c>
      <c r="E61" s="182">
        <f t="shared" si="2"/>
        <v>0.4929192279221612</v>
      </c>
      <c r="F61" s="181">
        <f t="shared" si="5"/>
        <v>-0.6835576408296191</v>
      </c>
      <c r="G61" s="182">
        <f t="shared" si="3"/>
        <v>0.34524751190358677</v>
      </c>
      <c r="H61" s="132"/>
      <c r="I61" s="132"/>
      <c r="J61" s="132"/>
    </row>
    <row r="62" spans="1:10" ht="13.5">
      <c r="A62" s="180">
        <v>100</v>
      </c>
      <c r="B62" s="181">
        <f t="shared" si="0"/>
        <v>0.5599750139231965</v>
      </c>
      <c r="C62" s="182">
        <f t="shared" si="1"/>
        <v>0.2799964220576414</v>
      </c>
      <c r="D62" s="181">
        <f t="shared" si="4"/>
        <v>-0.9500229691360218</v>
      </c>
      <c r="E62" s="182">
        <f t="shared" si="2"/>
        <v>0.4750550210732528</v>
      </c>
      <c r="F62" s="181">
        <f t="shared" si="5"/>
        <v>-0.6605662687415794</v>
      </c>
      <c r="G62" s="182">
        <f t="shared" si="3"/>
        <v>0.33029776879887945</v>
      </c>
      <c r="H62" s="132"/>
      <c r="I62" s="132"/>
      <c r="J62" s="132"/>
    </row>
    <row r="63" spans="1:10" ht="13.5">
      <c r="A63" s="180">
        <v>101</v>
      </c>
      <c r="B63" s="181">
        <f t="shared" si="0"/>
        <v>0.6200113443779216</v>
      </c>
      <c r="C63" s="182">
        <f t="shared" si="1"/>
        <v>0.30694829032676973</v>
      </c>
      <c r="D63" s="181">
        <f t="shared" si="4"/>
        <v>-0.92202811446829</v>
      </c>
      <c r="E63" s="182">
        <f t="shared" si="2"/>
        <v>0.4564889673674178</v>
      </c>
      <c r="F63" s="181">
        <f t="shared" si="5"/>
        <v>-0.6353812719740084</v>
      </c>
      <c r="G63" s="182">
        <f t="shared" si="3"/>
        <v>0.31455807871079544</v>
      </c>
      <c r="H63" s="132"/>
      <c r="I63" s="132"/>
      <c r="J63" s="132"/>
    </row>
    <row r="64" spans="1:10" ht="13.5">
      <c r="A64" s="180">
        <v>102</v>
      </c>
      <c r="B64" s="181">
        <f t="shared" si="0"/>
        <v>0.6814492416753772</v>
      </c>
      <c r="C64" s="182">
        <f t="shared" si="1"/>
        <v>0.3340594976553226</v>
      </c>
      <c r="D64" s="181">
        <f t="shared" si="4"/>
        <v>-0.8919623925428901</v>
      </c>
      <c r="E64" s="182">
        <f t="shared" si="2"/>
        <v>0.43727179216679407</v>
      </c>
      <c r="F64" s="181">
        <f t="shared" si="5"/>
        <v>-0.6080658344605254</v>
      </c>
      <c r="G64" s="182">
        <f t="shared" si="3"/>
        <v>0.29808267862986265</v>
      </c>
      <c r="H64" s="132"/>
      <c r="I64" s="132"/>
      <c r="J64" s="132"/>
    </row>
    <row r="65" spans="1:10" ht="13.5">
      <c r="A65" s="180">
        <v>103</v>
      </c>
      <c r="B65" s="181">
        <f t="shared" si="0"/>
        <v>0.7442501778001755</v>
      </c>
      <c r="C65" s="182">
        <f t="shared" si="1"/>
        <v>0.3613068154211044</v>
      </c>
      <c r="D65" s="181">
        <f t="shared" si="4"/>
        <v>-0.8598845926378722</v>
      </c>
      <c r="E65" s="182">
        <f t="shared" si="2"/>
        <v>0.41745104710519493</v>
      </c>
      <c r="F65" s="181">
        <f t="shared" si="5"/>
        <v>-0.5786805834837061</v>
      </c>
      <c r="G65" s="182">
        <f t="shared" si="3"/>
        <v>0.2809224567444896</v>
      </c>
      <c r="H65" s="132"/>
      <c r="I65" s="132"/>
      <c r="J65" s="132"/>
    </row>
    <row r="66" spans="1:10" ht="13.5">
      <c r="A66" s="180">
        <v>104</v>
      </c>
      <c r="B66" s="181">
        <f t="shared" si="0"/>
        <v>0.8083771560764887</v>
      </c>
      <c r="C66" s="182">
        <f t="shared" si="1"/>
        <v>0.38866865323000693</v>
      </c>
      <c r="D66" s="181">
        <f t="shared" si="4"/>
        <v>-0.8258511504380621</v>
      </c>
      <c r="E66" s="182">
        <f t="shared" si="2"/>
        <v>0.39707132098860876</v>
      </c>
      <c r="F66" s="181">
        <f t="shared" si="5"/>
        <v>-0.5472837164512825</v>
      </c>
      <c r="G66" s="182">
        <f t="shared" si="3"/>
        <v>0.2631251738319769</v>
      </c>
      <c r="H66" s="132"/>
      <c r="I66" s="132"/>
      <c r="J66" s="132"/>
    </row>
    <row r="67" spans="1:10" ht="13.5">
      <c r="A67" s="180">
        <v>105</v>
      </c>
      <c r="B67" s="181">
        <f t="shared" si="0"/>
        <v>0.8737946374612129</v>
      </c>
      <c r="C67" s="182">
        <f t="shared" si="1"/>
        <v>0.416124945868673</v>
      </c>
      <c r="D67" s="181">
        <f t="shared" si="4"/>
        <v>-0.7899162633285961</v>
      </c>
      <c r="E67" s="182">
        <f t="shared" si="2"/>
        <v>0.37617443522488264</v>
      </c>
      <c r="F67" s="181">
        <f t="shared" si="5"/>
        <v>-0.5139311201463528</v>
      </c>
      <c r="G67" s="182">
        <f t="shared" si="3"/>
        <v>0.24473566844377165</v>
      </c>
      <c r="H67" s="132"/>
      <c r="I67" s="132"/>
      <c r="J67" s="132"/>
    </row>
    <row r="68" spans="1:10" ht="13.5">
      <c r="A68" s="180">
        <v>106</v>
      </c>
      <c r="B68" s="181">
        <f t="shared" si="0"/>
        <v>0.9404684710779208</v>
      </c>
      <c r="C68" s="182">
        <f t="shared" si="1"/>
        <v>0.44365704864297173</v>
      </c>
      <c r="D68" s="181">
        <f t="shared" si="4"/>
        <v>-0.7521319989273358</v>
      </c>
      <c r="E68" s="182">
        <f t="shared" si="2"/>
        <v>0.3547996250386133</v>
      </c>
      <c r="F68" s="181">
        <f t="shared" si="5"/>
        <v>-0.47867648297011556</v>
      </c>
      <c r="G68" s="182">
        <f t="shared" si="3"/>
        <v>0.22579604719999086</v>
      </c>
      <c r="H68" s="132"/>
      <c r="I68" s="132"/>
      <c r="J68" s="132"/>
    </row>
    <row r="69" spans="1:10" ht="13.5">
      <c r="A69" s="180">
        <v>107</v>
      </c>
      <c r="B69" s="181">
        <f t="shared" si="0"/>
        <v>1.0083658287091595</v>
      </c>
      <c r="C69" s="182">
        <f t="shared" si="1"/>
        <v>0.47124764042293804</v>
      </c>
      <c r="D69" s="181">
        <f t="shared" si="4"/>
        <v>-0.7125483973163718</v>
      </c>
      <c r="E69" s="182">
        <f t="shared" si="2"/>
        <v>0.3329837076151187</v>
      </c>
      <c r="F69" s="181">
        <f t="shared" si="5"/>
        <v>-0.44157140065498623</v>
      </c>
      <c r="G69" s="182">
        <f t="shared" si="3"/>
        <v>0.20634586139057443</v>
      </c>
      <c r="H69" s="132"/>
      <c r="I69" s="132"/>
      <c r="J69" s="132"/>
    </row>
    <row r="70" spans="1:10" ht="13.5">
      <c r="A70" s="180">
        <v>108</v>
      </c>
      <c r="B70" s="181">
        <f t="shared" si="0"/>
        <v>1.077455142986203</v>
      </c>
      <c r="C70" s="182">
        <f t="shared" si="1"/>
        <v>0.4988806337750495</v>
      </c>
      <c r="D70" s="181">
        <f t="shared" si="4"/>
        <v>-0.6712135673968902</v>
      </c>
      <c r="E70" s="182">
        <f t="shared" si="2"/>
        <v>0.3107612382158474</v>
      </c>
      <c r="F70" s="181">
        <f t="shared" si="5"/>
        <v>-0.4026654758890871</v>
      </c>
      <c r="G70" s="182">
        <f t="shared" si="3"/>
        <v>0.18642227097439504</v>
      </c>
      <c r="H70" s="132"/>
      <c r="I70" s="132"/>
      <c r="J70" s="132"/>
    </row>
    <row r="71" spans="1:10" ht="13.5">
      <c r="A71" s="180">
        <v>109</v>
      </c>
      <c r="B71" s="181">
        <f t="shared" si="0"/>
        <v>1.1477060490348379</v>
      </c>
      <c r="C71" s="182">
        <f t="shared" si="1"/>
        <v>0.526541091617016</v>
      </c>
      <c r="D71" s="181">
        <f t="shared" si="4"/>
        <v>-0.6281737777593221</v>
      </c>
      <c r="E71" s="182">
        <f t="shared" si="2"/>
        <v>0.2881646552161351</v>
      </c>
      <c r="F71" s="181">
        <f t="shared" si="5"/>
        <v>-0.36200641225883246</v>
      </c>
      <c r="G71" s="182">
        <f t="shared" si="3"/>
        <v>0.1660601969716202</v>
      </c>
      <c r="H71" s="132"/>
      <c r="I71" s="132"/>
      <c r="J71" s="132"/>
    </row>
    <row r="72" spans="1:10" ht="13.5">
      <c r="A72" s="180">
        <v>110</v>
      </c>
      <c r="B72" s="181">
        <f t="shared" si="0"/>
        <v>1.2190893293534693</v>
      </c>
      <c r="C72" s="182">
        <f t="shared" si="1"/>
        <v>0.5542151498793133</v>
      </c>
      <c r="D72" s="181">
        <f t="shared" si="4"/>
        <v>-0.5834735424310296</v>
      </c>
      <c r="E72" s="182">
        <f t="shared" si="2"/>
        <v>0.2652244149335111</v>
      </c>
      <c r="F72" s="181">
        <f t="shared" si="5"/>
        <v>-0.31964010288582045</v>
      </c>
      <c r="G72" s="182">
        <f t="shared" si="3"/>
        <v>0.14529246315820613</v>
      </c>
      <c r="H72" s="132"/>
      <c r="I72" s="132"/>
      <c r="J72" s="132"/>
    </row>
    <row r="73" spans="1:10" ht="13.5">
      <c r="A73" s="180">
        <v>111</v>
      </c>
      <c r="B73" s="181">
        <f t="shared" si="0"/>
        <v>1.2915768617166066</v>
      </c>
      <c r="C73" s="182">
        <f t="shared" si="1"/>
        <v>0.5818899457023539</v>
      </c>
      <c r="D73" s="181">
        <f t="shared" si="4"/>
        <v>-0.5371557018364541</v>
      </c>
      <c r="E73" s="182">
        <f t="shared" si="2"/>
        <v>0.24196911703983345</v>
      </c>
      <c r="F73" s="181">
        <f t="shared" si="5"/>
        <v>-0.2756107141056816</v>
      </c>
      <c r="G73" s="182">
        <f t="shared" si="3"/>
        <v>0.124149927892909</v>
      </c>
      <c r="H73" s="132"/>
      <c r="I73" s="132"/>
      <c r="J73" s="132"/>
    </row>
    <row r="74" spans="1:10" ht="13.5">
      <c r="A74" s="180">
        <v>112</v>
      </c>
      <c r="B74" s="181">
        <f t="shared" si="0"/>
        <v>1.3651415699114686</v>
      </c>
      <c r="C74" s="182">
        <f t="shared" si="1"/>
        <v>0.6095535507383278</v>
      </c>
      <c r="D74" s="181">
        <f t="shared" si="4"/>
        <v>-0.48926149927970997</v>
      </c>
      <c r="E74" s="182">
        <f t="shared" si="2"/>
        <v>0.21842562128271306</v>
      </c>
      <c r="F74" s="181">
        <f t="shared" si="5"/>
        <v>-0.22996076451062208</v>
      </c>
      <c r="G74" s="182">
        <f t="shared" si="3"/>
        <v>0.10266160683622813</v>
      </c>
      <c r="H74" s="132"/>
      <c r="I74" s="132"/>
      <c r="J74" s="132"/>
    </row>
    <row r="75" spans="1:10" ht="13.5">
      <c r="A75" s="180">
        <v>113</v>
      </c>
      <c r="B75" s="181">
        <f t="shared" si="0"/>
        <v>1.4397573771296024</v>
      </c>
      <c r="C75" s="182">
        <f t="shared" si="1"/>
        <v>0.6371949091634654</v>
      </c>
      <c r="D75" s="181">
        <f t="shared" si="4"/>
        <v>-0.4398306532370029</v>
      </c>
      <c r="E75" s="182">
        <f t="shared" si="2"/>
        <v>0.19461915618033104</v>
      </c>
      <c r="F75" s="181">
        <f t="shared" si="5"/>
        <v>-0.1827311996537624</v>
      </c>
      <c r="G75" s="182">
        <f t="shared" si="3"/>
        <v>0.08085478725640978</v>
      </c>
      <c r="H75" s="132"/>
      <c r="I75" s="132"/>
      <c r="J75" s="132"/>
    </row>
    <row r="76" spans="1:10" ht="13.5">
      <c r="A76" s="180">
        <v>114</v>
      </c>
      <c r="B76" s="181">
        <f t="shared" si="0"/>
        <v>1.5153991618479026</v>
      </c>
      <c r="C76" s="182">
        <f t="shared" si="1"/>
        <v>0.6648037800395589</v>
      </c>
      <c r="D76" s="181">
        <f t="shared" si="4"/>
        <v>-0.38890142572497766</v>
      </c>
      <c r="E76" s="182">
        <f t="shared" si="2"/>
        <v>0.1705734202978263</v>
      </c>
      <c r="F76" s="181">
        <f t="shared" si="5"/>
        <v>-0.13396146269141695</v>
      </c>
      <c r="G76" s="182">
        <f t="shared" si="3"/>
        <v>0.05875513455919042</v>
      </c>
      <c r="H76" s="132"/>
      <c r="I76" s="132"/>
      <c r="J76" s="132"/>
    </row>
    <row r="77" spans="1:10" ht="13.5">
      <c r="A77" s="180">
        <v>115</v>
      </c>
      <c r="B77" s="181">
        <f t="shared" si="0"/>
        <v>1.5920427160453485</v>
      </c>
      <c r="C77" s="182">
        <f t="shared" si="1"/>
        <v>0.6923706836938404</v>
      </c>
      <c r="D77" s="181">
        <f t="shared" si="4"/>
        <v>-0.33651068699209574</v>
      </c>
      <c r="E77" s="182">
        <f t="shared" si="2"/>
        <v>0.14631067666288827</v>
      </c>
      <c r="F77" s="181">
        <f t="shared" si="5"/>
        <v>-0.08368956121964288</v>
      </c>
      <c r="G77" s="182">
        <f t="shared" si="3"/>
        <v>0.03638679162502605</v>
      </c>
      <c r="H77" s="132"/>
      <c r="I77" s="132"/>
      <c r="J77" s="132"/>
    </row>
    <row r="78" spans="1:10" ht="13.5">
      <c r="A78" s="180">
        <v>116</v>
      </c>
      <c r="B78" s="181">
        <f t="shared" si="0"/>
        <v>1.6696647056123233</v>
      </c>
      <c r="C78" s="182">
        <f t="shared" si="1"/>
        <v>0.7198868518136369</v>
      </c>
      <c r="D78" s="181">
        <f t="shared" si="4"/>
        <v>-0.282693976762328</v>
      </c>
      <c r="E78" s="182">
        <f t="shared" si="2"/>
        <v>0.12185184083208314</v>
      </c>
      <c r="F78" s="181">
        <f t="shared" si="5"/>
        <v>-0.031952130542688195</v>
      </c>
      <c r="G78" s="182">
        <f t="shared" si="3"/>
        <v>0.013772471489230012</v>
      </c>
      <c r="H78" s="132"/>
      <c r="I78" s="132"/>
      <c r="J78" s="132"/>
    </row>
    <row r="79" spans="1:10" ht="13.5">
      <c r="A79" s="180">
        <v>117</v>
      </c>
      <c r="B79" s="181">
        <f t="shared" si="0"/>
        <v>1.7482426328195473</v>
      </c>
      <c r="C79" s="182">
        <f t="shared" si="1"/>
        <v>0.7473441809772702</v>
      </c>
      <c r="D79" s="181">
        <f t="shared" si="4"/>
        <v>-0.2274855622442793</v>
      </c>
      <c r="E79" s="182">
        <f t="shared" si="2"/>
        <v>0.09721656307759413</v>
      </c>
      <c r="F79" s="181">
        <f t="shared" si="5"/>
        <v>0.021215506405457774</v>
      </c>
      <c r="G79" s="182">
        <f t="shared" si="3"/>
        <v>0.009066456143188137</v>
      </c>
      <c r="H79" s="132"/>
      <c r="I79" s="132"/>
      <c r="J79" s="132"/>
    </row>
    <row r="80" spans="1:10" ht="13.5">
      <c r="A80" s="180">
        <v>118</v>
      </c>
      <c r="B80" s="181">
        <f t="shared" si="0"/>
        <v>1.8277548007227296</v>
      </c>
      <c r="C80" s="182">
        <f t="shared" si="1"/>
        <v>0.7747351893653678</v>
      </c>
      <c r="D80" s="181">
        <f t="shared" si="4"/>
        <v>-0.17091849310367735</v>
      </c>
      <c r="E80" s="182">
        <f t="shared" si="2"/>
        <v>0.07242330512582397</v>
      </c>
      <c r="F80" s="181">
        <f t="shared" si="5"/>
        <v>0.07577928228136344</v>
      </c>
      <c r="G80" s="182">
        <f t="shared" si="3"/>
        <v>0.03210988409636455</v>
      </c>
      <c r="H80" s="132"/>
      <c r="I80" s="132"/>
      <c r="J80" s="132"/>
    </row>
    <row r="81" spans="1:10" ht="13.5">
      <c r="A81" s="180">
        <v>119</v>
      </c>
      <c r="B81" s="181">
        <f t="shared" si="0"/>
        <v>1.9081802793874054</v>
      </c>
      <c r="C81" s="182">
        <f t="shared" si="1"/>
        <v>0.8020529764174122</v>
      </c>
      <c r="D81" s="181">
        <f t="shared" si="4"/>
        <v>-0.11302465358370384</v>
      </c>
      <c r="E81" s="182">
        <f t="shared" si="2"/>
        <v>0.047489411844692186</v>
      </c>
      <c r="F81" s="181">
        <f t="shared" si="5"/>
        <v>0.1317063315030822</v>
      </c>
      <c r="G81" s="182">
        <f t="shared" si="3"/>
        <v>0.05533889222063845</v>
      </c>
      <c r="H81" s="132"/>
      <c r="I81" s="132"/>
      <c r="J81" s="132"/>
    </row>
    <row r="82" spans="1:10" ht="13.5">
      <c r="A82" s="180">
        <v>120</v>
      </c>
      <c r="B82" s="181">
        <f t="shared" si="0"/>
        <v>1.9894988738264665</v>
      </c>
      <c r="C82" s="182">
        <f t="shared" si="1"/>
        <v>0.8292911852173575</v>
      </c>
      <c r="D82" s="181">
        <f t="shared" si="4"/>
        <v>-0.05383481194451889</v>
      </c>
      <c r="E82" s="182">
        <f t="shared" si="2"/>
        <v>0.022431178244583894</v>
      </c>
      <c r="F82" s="181">
        <f t="shared" si="5"/>
        <v>0.1889649391939976</v>
      </c>
      <c r="G82" s="182">
        <f t="shared" si="3"/>
        <v>0.07873567680566336</v>
      </c>
      <c r="H82" s="132"/>
      <c r="I82" s="132"/>
      <c r="J82" s="132"/>
    </row>
    <row r="83" spans="1:10" ht="13.5">
      <c r="A83" s="180">
        <v>121</v>
      </c>
      <c r="B83" s="181">
        <f t="shared" si="0"/>
        <v>2.071691093549923</v>
      </c>
      <c r="C83" s="182">
        <f t="shared" si="1"/>
        <v>0.8564439674093012</v>
      </c>
      <c r="D83" s="181">
        <f t="shared" si="4"/>
        <v>0.00662133261804243</v>
      </c>
      <c r="E83" s="182">
        <f t="shared" si="2"/>
        <v>0.0027360878708754164</v>
      </c>
      <c r="F83" s="181">
        <f t="shared" si="5"/>
        <v>0.2475244927339162</v>
      </c>
      <c r="G83" s="182">
        <f t="shared" si="3"/>
        <v>0.10228348455762504</v>
      </c>
      <c r="H83" s="132"/>
      <c r="I83" s="132"/>
      <c r="J83" s="132"/>
    </row>
    <row r="84" spans="1:10" ht="13.5">
      <c r="A84" s="180">
        <v>122</v>
      </c>
      <c r="B84" s="181">
        <f aca="true" t="shared" si="6" ref="B84:B94">ASIN(A84/2/$C$8+$C$8/A84*($D$8/$C$8-0.5*($D$8/$C$8)^2))*180/PI()-$E$8</f>
        <v>2.154738123633212</v>
      </c>
      <c r="C84" s="182">
        <f aca="true" t="shared" si="7" ref="C84:C109">ABS(900*$D$12*TAN(B84*PI()/180)/(PI()*A84))</f>
        <v>0.8835059504599976</v>
      </c>
      <c r="D84" s="181">
        <f t="shared" si="4"/>
        <v>0.06831510542575003</v>
      </c>
      <c r="E84" s="182">
        <f aca="true" t="shared" si="8" ref="E84:E109">ABS(900*$D$12*TAN(D84*PI()/180)/(PI()*A84))</f>
        <v>0.027998007294600502</v>
      </c>
      <c r="F84" s="181">
        <f t="shared" si="5"/>
        <v>0.30735543576316715</v>
      </c>
      <c r="G84" s="182">
        <f aca="true" t="shared" si="9" ref="G84:G109">ABS(900*$D$12*TAN(F84*PI()/180)/(PI()*A84))</f>
        <v>0.12596655081635214</v>
      </c>
      <c r="H84" s="132"/>
      <c r="I84" s="132"/>
      <c r="J84" s="132"/>
    </row>
    <row r="85" spans="1:10" ht="13.5">
      <c r="A85" s="180">
        <v>123</v>
      </c>
      <c r="B85" s="181">
        <f t="shared" si="6"/>
        <v>2.2386217972165454</v>
      </c>
      <c r="C85" s="182">
        <f t="shared" si="7"/>
        <v>0.9104722070993938</v>
      </c>
      <c r="D85" s="181">
        <f t="shared" si="4"/>
        <v>0.13121881400418545</v>
      </c>
      <c r="E85" s="182">
        <f t="shared" si="8"/>
        <v>0.053341074560839</v>
      </c>
      <c r="F85" s="181">
        <f t="shared" si="5"/>
        <v>0.3684292244956495</v>
      </c>
      <c r="G85" s="182">
        <f t="shared" si="9"/>
        <v>0.14977004171329836</v>
      </c>
      <c r="H85" s="132"/>
      <c r="I85" s="132"/>
      <c r="J85" s="132"/>
    </row>
    <row r="86" spans="1:10" ht="13.5">
      <c r="A86" s="180">
        <v>124</v>
      </c>
      <c r="B86" s="181">
        <f t="shared" si="6"/>
        <v>2.323324569353492</v>
      </c>
      <c r="C86" s="182">
        <f t="shared" si="7"/>
        <v>0.937338226783546</v>
      </c>
      <c r="D86" s="181">
        <f t="shared" si="4"/>
        <v>0.1953057078723326</v>
      </c>
      <c r="E86" s="182">
        <f t="shared" si="8"/>
        <v>0.07875260658164146</v>
      </c>
      <c r="F86" s="181">
        <f t="shared" si="5"/>
        <v>0.4307182862065666</v>
      </c>
      <c r="G86" s="182">
        <f t="shared" si="9"/>
        <v>0.17367999999458625</v>
      </c>
      <c r="H86" s="132"/>
      <c r="I86" s="132"/>
      <c r="J86" s="132"/>
    </row>
    <row r="87" spans="1:10" ht="13.5">
      <c r="A87" s="180">
        <v>125</v>
      </c>
      <c r="B87" s="181">
        <f t="shared" si="6"/>
        <v>2.4088294921323623</v>
      </c>
      <c r="C87" s="182">
        <f t="shared" si="7"/>
        <v>0.9640998890363411</v>
      </c>
      <c r="D87" s="181">
        <f aca="true" t="shared" si="10" ref="D87:D94">ASIN(A87/2/$C$10+$C$10/A87*($D$10/$C$10-0.5*($D$10/$C$10)^2))*180/PI()-$E$10</f>
        <v>0.2605499403142204</v>
      </c>
      <c r="E87" s="182">
        <f t="shared" si="8"/>
        <v>0.10422069453176658</v>
      </c>
      <c r="F87" s="181">
        <f aca="true" t="shared" si="11" ref="F87:F94">ASIN(A87/2/$C$11+$C$11/A87*($D$11/$C$11-0.5*($D$11/$C$11)^2))*180/PI()-$E$11</f>
        <v>0.49419597976932295</v>
      </c>
      <c r="G87" s="182">
        <f t="shared" si="9"/>
        <v>0.19768329425441322</v>
      </c>
      <c r="H87" s="132"/>
      <c r="I87" s="132"/>
      <c r="J87" s="132"/>
    </row>
    <row r="88" spans="1:10" ht="13.5">
      <c r="A88" s="180">
        <v>126</v>
      </c>
      <c r="B88" s="181">
        <f t="shared" si="6"/>
        <v>2.495120190998751</v>
      </c>
      <c r="C88" s="182">
        <f t="shared" si="7"/>
        <v>0.9907534385374627</v>
      </c>
      <c r="D88" s="181">
        <f t="shared" si="10"/>
        <v>0.3269265320196162</v>
      </c>
      <c r="E88" s="182">
        <f t="shared" si="8"/>
        <v>0.12973415875748498</v>
      </c>
      <c r="F88" s="181">
        <f t="shared" si="11"/>
        <v>0.5588365581244936</v>
      </c>
      <c r="G88" s="182">
        <f t="shared" si="9"/>
        <v>0.2217675713436069</v>
      </c>
      <c r="H88" s="132"/>
      <c r="I88" s="132"/>
      <c r="J88" s="132"/>
    </row>
    <row r="89" spans="1:10" ht="13.5">
      <c r="A89" s="180">
        <v>127</v>
      </c>
      <c r="B89" s="181">
        <f t="shared" si="6"/>
        <v>2.5821808422124093</v>
      </c>
      <c r="C89" s="182">
        <f t="shared" si="7"/>
        <v>1.0172954618342491</v>
      </c>
      <c r="D89" s="181">
        <f t="shared" si="10"/>
        <v>0.3944113364878774</v>
      </c>
      <c r="E89" s="182">
        <f t="shared" si="8"/>
        <v>0.155282506501646</v>
      </c>
      <c r="F89" s="181">
        <f t="shared" si="11"/>
        <v>0.62461513257119</v>
      </c>
      <c r="G89" s="182">
        <f t="shared" si="9"/>
        <v>0.24592121173581735</v>
      </c>
      <c r="H89" s="132"/>
      <c r="I89" s="132"/>
      <c r="J89" s="132"/>
    </row>
    <row r="90" spans="1:10" ht="13.5">
      <c r="A90" s="180">
        <v>128</v>
      </c>
      <c r="B90" s="181">
        <f t="shared" si="6"/>
        <v>2.6699961513755426</v>
      </c>
      <c r="C90" s="182">
        <f t="shared" si="7"/>
        <v>1.043722865564263</v>
      </c>
      <c r="D90" s="181">
        <f t="shared" si="10"/>
        <v>0.46298100709594436</v>
      </c>
      <c r="E90" s="182">
        <f t="shared" si="8"/>
        <v>0.18085589225299303</v>
      </c>
      <c r="F90" s="181">
        <f t="shared" si="11"/>
        <v>0.6915076387784218</v>
      </c>
      <c r="G90" s="182">
        <f t="shared" si="9"/>
        <v>0.2701332876502386</v>
      </c>
      <c r="H90" s="132"/>
      <c r="I90" s="132"/>
      <c r="J90" s="132"/>
    </row>
    <row r="91" spans="1:10" ht="13.5">
      <c r="A91" s="180">
        <v>129</v>
      </c>
      <c r="B91" s="181">
        <f t="shared" si="6"/>
        <v>2.758551332973905</v>
      </c>
      <c r="C91" s="182">
        <f t="shared" si="7"/>
        <v>1.0700328560840497</v>
      </c>
      <c r="D91" s="181">
        <f t="shared" si="10"/>
        <v>0.532612965737858</v>
      </c>
      <c r="E91" s="182">
        <f t="shared" si="8"/>
        <v>0.20644508054206465</v>
      </c>
      <c r="F91" s="181">
        <f t="shared" si="11"/>
        <v>0.7594908044204338</v>
      </c>
      <c r="G91" s="182">
        <f t="shared" si="9"/>
        <v>0.29439352374466254</v>
      </c>
      <c r="H91" s="132"/>
      <c r="I91" s="132"/>
      <c r="J91" s="132"/>
    </row>
    <row r="92" spans="1:10" ht="13.5">
      <c r="A92" s="180">
        <v>130</v>
      </c>
      <c r="B92" s="181">
        <f t="shared" si="6"/>
        <v>2.8478320908754178</v>
      </c>
      <c r="C92" s="182">
        <f t="shared" si="7"/>
        <v>1.0962229204072633</v>
      </c>
      <c r="D92" s="181">
        <f t="shared" si="10"/>
        <v>0.6032853729488892</v>
      </c>
      <c r="E92" s="182">
        <f t="shared" si="8"/>
        <v>0.23204141101910675</v>
      </c>
      <c r="F92" s="181">
        <f t="shared" si="11"/>
        <v>0.8285421183461956</v>
      </c>
      <c r="G92" s="182">
        <f t="shared" si="9"/>
        <v>0.3186922602064825</v>
      </c>
      <c r="H92" s="132"/>
      <c r="I92" s="132"/>
      <c r="J92" s="132"/>
    </row>
    <row r="93" spans="1:10" ht="13.5">
      <c r="A93" s="180">
        <v>131</v>
      </c>
      <c r="B93" s="181">
        <f t="shared" si="6"/>
        <v>2.9378245997347747</v>
      </c>
      <c r="C93" s="182">
        <f t="shared" si="7"/>
        <v>1.1222908083626708</v>
      </c>
      <c r="D93" s="181">
        <f t="shared" si="10"/>
        <v>0.6749770994331001</v>
      </c>
      <c r="E93" s="182">
        <f t="shared" si="8"/>
        <v>0.2576367656616257</v>
      </c>
      <c r="F93" s="181">
        <f t="shared" si="11"/>
        <v>0.8986398011989287</v>
      </c>
      <c r="G93" s="182">
        <f t="shared" si="9"/>
        <v>0.3430204180819351</v>
      </c>
      <c r="H93" s="132"/>
      <c r="I93" s="132"/>
      <c r="J93" s="132"/>
    </row>
    <row r="94" spans="1:10" ht="13.5">
      <c r="A94" s="180">
        <v>132</v>
      </c>
      <c r="B94" s="181">
        <f t="shared" si="6"/>
        <v>3.0285154872553086</v>
      </c>
      <c r="C94" s="182">
        <f t="shared" si="7"/>
        <v>1.1482345158890146</v>
      </c>
      <c r="D94" s="181">
        <f t="shared" si="10"/>
        <v>0.7476676989178905</v>
      </c>
      <c r="E94" s="182">
        <f t="shared" si="8"/>
        <v>0.2832235379702065</v>
      </c>
      <c r="F94" s="181">
        <f t="shared" si="11"/>
        <v>0.9697627774066788</v>
      </c>
      <c r="G94" s="182">
        <f t="shared" si="9"/>
        <v>0.367369466695464</v>
      </c>
      <c r="H94" s="132"/>
      <c r="I94" s="132"/>
      <c r="J94" s="132"/>
    </row>
    <row r="95" spans="1:10" ht="13.5">
      <c r="A95" s="180">
        <v>133</v>
      </c>
      <c r="B95" s="181">
        <f aca="true" t="shared" si="12" ref="B95:B109">ASIN(A95/2/$C$8+$C$8/A95*($D$8/$C$8-0.5*($D$8/$C$8)^2))*180/PI()-$E$8</f>
        <v>3.1198918172626904</v>
      </c>
      <c r="C95" s="182">
        <f t="shared" si="7"/>
        <v>1.17405226938994</v>
      </c>
      <c r="D95" s="181">
        <f aca="true" t="shared" si="13" ref="D95:D109">ASIN(A95/2/$C$10+$C$10/A95*($D$10/$C$10-0.5*($D$10/$C$10)^2))*180/PI()-$E$10</f>
        <v>0.8213373822641437</v>
      </c>
      <c r="E95" s="182">
        <f t="shared" si="8"/>
        <v>0.3087946040215945</v>
      </c>
      <c r="F95" s="181">
        <f aca="true" t="shared" si="14" ref="F95:F109">ASIN(A95/2/$C$11+$C$11/A95*($D$11/$C$11-0.5*($D$11/$C$11)^2))*180/PI()-$E$11</f>
        <v>1.0418906484699164</v>
      </c>
      <c r="G95" s="182">
        <f t="shared" si="9"/>
        <v>0.39173139302183935</v>
      </c>
      <c r="H95" s="132"/>
      <c r="I95" s="132"/>
      <c r="J95" s="132"/>
    </row>
    <row r="96" spans="1:10" ht="13.5">
      <c r="A96" s="180">
        <v>134</v>
      </c>
      <c r="B96" s="181">
        <f t="shared" si="12"/>
        <v>3.2119410735476315</v>
      </c>
      <c r="C96" s="182">
        <f t="shared" si="7"/>
        <v>1.1997425110777329</v>
      </c>
      <c r="D96" s="181">
        <f t="shared" si="13"/>
        <v>0.8959669927647091</v>
      </c>
      <c r="E96" s="182">
        <f t="shared" si="8"/>
        <v>0.3343432952573699</v>
      </c>
      <c r="F96" s="181">
        <f t="shared" si="14"/>
        <v>1.1150036674767065</v>
      </c>
      <c r="G96" s="182">
        <f t="shared" si="9"/>
        <v>0.4160986728835407</v>
      </c>
      <c r="H96" s="132"/>
      <c r="I96" s="132"/>
      <c r="J96" s="132"/>
    </row>
    <row r="97" spans="1:10" ht="13.5">
      <c r="A97" s="180">
        <v>135</v>
      </c>
      <c r="B97" s="181">
        <f t="shared" si="12"/>
        <v>3.304651144437173</v>
      </c>
      <c r="C97" s="182">
        <f t="shared" si="7"/>
        <v>1.2253038852397222</v>
      </c>
      <c r="D97" s="181">
        <f t="shared" si="13"/>
        <v>0.9715379825682113</v>
      </c>
      <c r="E97" s="182">
        <f t="shared" si="8"/>
        <v>0.35986337289530135</v>
      </c>
      <c r="F97" s="181">
        <f t="shared" si="14"/>
        <v>1.1890827147802376</v>
      </c>
      <c r="G97" s="182">
        <f t="shared" si="9"/>
        <v>0.44046424385502025</v>
      </c>
      <c r="H97" s="132"/>
      <c r="I97" s="132"/>
      <c r="J97" s="132"/>
    </row>
    <row r="98" spans="1:10" ht="13.5">
      <c r="A98" s="180">
        <v>136</v>
      </c>
      <c r="B98" s="181">
        <f t="shared" si="12"/>
        <v>3.3980103080569712</v>
      </c>
      <c r="C98" s="182">
        <f t="shared" si="7"/>
        <v>1.2507352253661246</v>
      </c>
      <c r="D98" s="181">
        <f t="shared" si="13"/>
        <v>1.0480323901689133</v>
      </c>
      <c r="E98" s="182">
        <f t="shared" si="8"/>
        <v>0.38534900385845405</v>
      </c>
      <c r="F98" s="181">
        <f t="shared" si="14"/>
        <v>1.2641092747773293</v>
      </c>
      <c r="G98" s="182">
        <f t="shared" si="9"/>
        <v>0.464821479763804</v>
      </c>
      <c r="H98" s="132"/>
      <c r="I98" s="132"/>
      <c r="J98" s="132"/>
    </row>
    <row r="99" spans="1:10" ht="13.5">
      <c r="A99" s="180">
        <v>137</v>
      </c>
      <c r="B99" s="181">
        <f t="shared" si="12"/>
        <v>3.492007218248723</v>
      </c>
      <c r="C99" s="182">
        <f t="shared" si="7"/>
        <v>1.2760355420823026</v>
      </c>
      <c r="D99" s="181">
        <f t="shared" si="13"/>
        <v>1.1254328189069547</v>
      </c>
      <c r="E99" s="182">
        <f t="shared" si="8"/>
        <v>0.41079473812454376</v>
      </c>
      <c r="F99" s="181">
        <f t="shared" si="14"/>
        <v>1.3400654137304109</v>
      </c>
      <c r="G99" s="182">
        <f t="shared" si="9"/>
        <v>0.48916416668621027</v>
      </c>
      <c r="H99" s="132"/>
      <c r="I99" s="132"/>
      <c r="J99" s="132"/>
    </row>
    <row r="100" spans="1:10" ht="13.5">
      <c r="A100" s="180">
        <v>138</v>
      </c>
      <c r="B100" s="181">
        <f t="shared" si="12"/>
        <v>3.5866308911093974</v>
      </c>
      <c r="C100" s="182">
        <f t="shared" si="7"/>
        <v>1.3012040118326267</v>
      </c>
      <c r="D100" s="181">
        <f t="shared" si="13"/>
        <v>1.2037224164265332</v>
      </c>
      <c r="E100" s="182">
        <f t="shared" si="8"/>
        <v>0.4361954874048319</v>
      </c>
      <c r="F100" s="181">
        <f t="shared" si="14"/>
        <v>1.4169337585788</v>
      </c>
      <c r="G100" s="182">
        <f t="shared" si="9"/>
        <v>0.5134864803425777</v>
      </c>
      <c r="H100" s="132"/>
      <c r="I100" s="132"/>
      <c r="J100" s="132"/>
    </row>
    <row r="101" spans="1:10" ht="13.5">
      <c r="A101" s="180">
        <v>139</v>
      </c>
      <c r="B101" s="181">
        <f t="shared" si="12"/>
        <v>3.6818706921205475</v>
      </c>
      <c r="C101" s="182">
        <f t="shared" si="7"/>
        <v>1.3262399662667368</v>
      </c>
      <c r="D101" s="181">
        <f t="shared" si="13"/>
        <v>1.2828848550428589</v>
      </c>
      <c r="E101" s="182">
        <f t="shared" si="8"/>
        <v>0.46154650506823164</v>
      </c>
      <c r="F101" s="181">
        <f t="shared" si="14"/>
        <v>1.4946974766881986</v>
      </c>
      <c r="G101" s="182">
        <f t="shared" si="9"/>
        <v>0.5377829648034592</v>
      </c>
      <c r="H101" s="132"/>
      <c r="I101" s="132"/>
      <c r="J101" s="132"/>
    </row>
    <row r="102" spans="1:10" ht="13.5">
      <c r="A102" s="180">
        <v>140</v>
      </c>
      <c r="B102" s="181">
        <f t="shared" si="12"/>
        <v>3.777716323838071</v>
      </c>
      <c r="C102" s="182">
        <f t="shared" si="7"/>
        <v>1.351142882282559</v>
      </c>
      <c r="D102" s="181">
        <f t="shared" si="13"/>
        <v>1.3629043129713558</v>
      </c>
      <c r="E102" s="182">
        <f t="shared" si="8"/>
        <v>0.4868433672320347</v>
      </c>
      <c r="F102" s="181">
        <f t="shared" si="14"/>
        <v>1.5733402564905852</v>
      </c>
      <c r="G102" s="182">
        <f t="shared" si="9"/>
        <v>0.5620485124244409</v>
      </c>
      <c r="H102" s="132"/>
      <c r="I102" s="132"/>
      <c r="J102" s="132"/>
    </row>
    <row r="103" spans="1:10" ht="13.5">
      <c r="A103" s="180">
        <v>141</v>
      </c>
      <c r="B103" s="181">
        <f t="shared" si="12"/>
        <v>3.874157814114298</v>
      </c>
      <c r="C103" s="182">
        <f t="shared" si="7"/>
        <v>1.3759123726835512</v>
      </c>
      <c r="D103" s="181">
        <f t="shared" si="13"/>
        <v>1.4437654563754485</v>
      </c>
      <c r="E103" s="182">
        <f t="shared" si="8"/>
        <v>0.5120819549461302</v>
      </c>
      <c r="F103" s="181">
        <f t="shared" si="14"/>
        <v>1.652846288969208</v>
      </c>
      <c r="G103" s="182">
        <f t="shared" si="9"/>
        <v>0.5862783449328037</v>
      </c>
      <c r="H103" s="132"/>
      <c r="I103" s="132"/>
      <c r="J103" s="132"/>
    </row>
    <row r="104" spans="1:10" ht="13.5">
      <c r="A104" s="180">
        <v>142</v>
      </c>
      <c r="B104" s="181">
        <f t="shared" si="12"/>
        <v>3.971185504826064</v>
      </c>
      <c r="C104" s="182">
        <f t="shared" si="7"/>
        <v>1.4005481774106536</v>
      </c>
      <c r="D104" s="181">
        <f t="shared" si="13"/>
        <v>1.5254534221918625</v>
      </c>
      <c r="E104" s="182">
        <f t="shared" si="8"/>
        <v>0.5372584374025928</v>
      </c>
      <c r="F104" s="181">
        <f t="shared" si="14"/>
        <v>1.733200249946254</v>
      </c>
      <c r="G104" s="182">
        <f t="shared" si="9"/>
        <v>0.6104679955945534</v>
      </c>
      <c r="H104" s="132"/>
      <c r="I104" s="132"/>
      <c r="J104" s="132"/>
    </row>
    <row r="105" spans="1:10" ht="13.5">
      <c r="A105" s="180">
        <v>143</v>
      </c>
      <c r="B105" s="181">
        <f t="shared" si="12"/>
        <v>4.068790041083744</v>
      </c>
      <c r="C105" s="182">
        <f t="shared" si="7"/>
        <v>1.4250501553121278</v>
      </c>
      <c r="D105" s="181">
        <f t="shared" si="13"/>
        <v>1.607953801694478</v>
      </c>
      <c r="E105" s="182">
        <f t="shared" si="8"/>
        <v>0.5623692561070607</v>
      </c>
      <c r="F105" s="181">
        <f t="shared" si="14"/>
        <v>1.814387283132863</v>
      </c>
      <c r="G105" s="182">
        <f t="shared" si="9"/>
        <v>0.6346132923950696</v>
      </c>
      <c r="H105" s="132"/>
      <c r="I105" s="132"/>
      <c r="J105" s="132"/>
    </row>
    <row r="106" spans="1:10" ht="13.5">
      <c r="A106" s="180">
        <v>144</v>
      </c>
      <c r="B106" s="181">
        <f t="shared" si="12"/>
        <v>4.16696236089772</v>
      </c>
      <c r="C106" s="182">
        <f t="shared" si="7"/>
        <v>1.4494182764169694</v>
      </c>
      <c r="D106" s="181">
        <f t="shared" si="13"/>
        <v>1.6912526247602564</v>
      </c>
      <c r="E106" s="182">
        <f t="shared" si="8"/>
        <v>0.5874111099526916</v>
      </c>
      <c r="F106" s="181">
        <f t="shared" si="14"/>
        <v>1.8963929839039118</v>
      </c>
      <c r="G106" s="182">
        <f t="shared" si="9"/>
        <v>0.658710342171271</v>
      </c>
      <c r="H106" s="132"/>
      <c r="I106" s="132"/>
      <c r="J106" s="132"/>
    </row>
    <row r="107" spans="1:10" ht="13.5">
      <c r="A107" s="180">
        <v>145</v>
      </c>
      <c r="B107" s="181">
        <f t="shared" si="12"/>
        <v>4.265693685280059</v>
      </c>
      <c r="C107" s="182">
        <f t="shared" si="7"/>
        <v>1.4736526146799835</v>
      </c>
      <c r="D107" s="181">
        <f t="shared" si="13"/>
        <v>1.7753363448026072</v>
      </c>
      <c r="E107" s="182">
        <f t="shared" si="8"/>
        <v>0.6123809411413846</v>
      </c>
      <c r="F107" s="181">
        <f t="shared" si="14"/>
        <v>1.9792033837616572</v>
      </c>
      <c r="G107" s="182">
        <f t="shared" si="9"/>
        <v>0.6827555156371786</v>
      </c>
      <c r="H107" s="132"/>
      <c r="I107" s="132"/>
      <c r="J107" s="132"/>
    </row>
    <row r="108" spans="1:10" ht="13.5">
      <c r="A108" s="180">
        <v>146</v>
      </c>
      <c r="B108" s="181">
        <f t="shared" si="12"/>
        <v>4.364975508760491</v>
      </c>
      <c r="C108" s="182">
        <f t="shared" si="7"/>
        <v>1.4977533411687547</v>
      </c>
      <c r="D108" s="181">
        <f t="shared" si="13"/>
        <v>1.8601918243397364</v>
      </c>
      <c r="E108" s="182">
        <f t="shared" si="8"/>
        <v>0.6372759219007091</v>
      </c>
      <c r="F108" s="181">
        <f t="shared" si="14"/>
        <v>2.062804935454693</v>
      </c>
      <c r="G108" s="182">
        <f t="shared" si="9"/>
        <v>0.7067454332487477</v>
      </c>
      <c r="H108" s="132"/>
      <c r="I108" s="132"/>
      <c r="J108" s="132"/>
    </row>
    <row r="109" spans="1:10" ht="13.5">
      <c r="A109" s="180">
        <v>146.5</v>
      </c>
      <c r="B109" s="181">
        <f t="shared" si="12"/>
        <v>4.414820272248317</v>
      </c>
      <c r="C109" s="182">
        <f t="shared" si="7"/>
        <v>1.509753678427886</v>
      </c>
      <c r="D109" s="181">
        <f t="shared" si="13"/>
        <v>1.9029049769055746</v>
      </c>
      <c r="E109" s="182">
        <f t="shared" si="8"/>
        <v>0.6496945194885904</v>
      </c>
      <c r="F109" s="181">
        <f t="shared" si="14"/>
        <v>2.1048982713869435</v>
      </c>
      <c r="G109" s="182">
        <f t="shared" si="9"/>
        <v>0.7187186799905582</v>
      </c>
      <c r="H109" s="132"/>
      <c r="I109" s="132"/>
      <c r="J109" s="132"/>
    </row>
    <row r="110" spans="1:10" ht="13.5">
      <c r="A110" s="216"/>
      <c r="B110" s="217" t="s">
        <v>68</v>
      </c>
      <c r="C110" s="218"/>
      <c r="D110" s="217" t="s">
        <v>69</v>
      </c>
      <c r="E110" s="219"/>
      <c r="F110" s="220" t="s">
        <v>87</v>
      </c>
      <c r="G110" s="221"/>
      <c r="H110" s="132"/>
      <c r="I110" s="132"/>
      <c r="J110" s="132"/>
    </row>
    <row r="111" spans="1:10" ht="13.5">
      <c r="A111" s="222" t="s">
        <v>73</v>
      </c>
      <c r="B111" s="223" t="s">
        <v>74</v>
      </c>
      <c r="C111" s="172" t="s">
        <v>74</v>
      </c>
      <c r="D111" s="223" t="s">
        <v>74</v>
      </c>
      <c r="E111" s="172" t="s">
        <v>74</v>
      </c>
      <c r="F111" s="223" t="s">
        <v>74</v>
      </c>
      <c r="G111" s="172" t="s">
        <v>74</v>
      </c>
      <c r="H111" s="132"/>
      <c r="I111" s="132"/>
      <c r="J111" s="132"/>
    </row>
    <row r="112" spans="1:10" ht="13.5">
      <c r="A112" s="224" t="s">
        <v>77</v>
      </c>
      <c r="B112" s="177" t="s">
        <v>88</v>
      </c>
      <c r="C112" s="225" t="s">
        <v>79</v>
      </c>
      <c r="D112" s="177" t="s">
        <v>88</v>
      </c>
      <c r="E112" s="225" t="s">
        <v>79</v>
      </c>
      <c r="F112" s="177" t="s">
        <v>88</v>
      </c>
      <c r="G112" s="225" t="s">
        <v>79</v>
      </c>
      <c r="H112" s="132"/>
      <c r="I112" s="132"/>
      <c r="J112" s="132"/>
    </row>
    <row r="113" spans="1:10" ht="13.5">
      <c r="A113" s="226"/>
      <c r="B113" s="226"/>
      <c r="C113" s="226"/>
      <c r="D113" s="226"/>
      <c r="E113" s="226"/>
      <c r="F113" s="226"/>
      <c r="G113" s="226"/>
      <c r="H113" s="132"/>
      <c r="I113" s="132"/>
      <c r="J113" s="132"/>
    </row>
    <row r="114" ht="18">
      <c r="A114" s="227" t="s">
        <v>89</v>
      </c>
    </row>
    <row r="115" ht="18">
      <c r="A115" s="108" t="s">
        <v>90</v>
      </c>
    </row>
    <row r="116" ht="18">
      <c r="A116" s="108" t="s">
        <v>91</v>
      </c>
    </row>
    <row r="117" ht="18">
      <c r="A117" s="108" t="s">
        <v>92</v>
      </c>
    </row>
    <row r="118" ht="18">
      <c r="A118" s="228" t="s">
        <v>93</v>
      </c>
    </row>
  </sheetData>
  <sheetProtection/>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K152"/>
  <sheetViews>
    <sheetView workbookViewId="0" topLeftCell="A1">
      <selection activeCell="L53" sqref="L53"/>
    </sheetView>
  </sheetViews>
  <sheetFormatPr defaultColWidth="9.140625" defaultRowHeight="15"/>
  <cols>
    <col min="1" max="1" width="16.57421875" style="102" customWidth="1"/>
    <col min="2" max="2" width="10.421875" style="102" customWidth="1"/>
    <col min="3" max="3" width="12.140625" style="102" customWidth="1"/>
    <col min="4" max="4" width="12.00390625" style="102" customWidth="1"/>
    <col min="5" max="5" width="11.8515625" style="102" customWidth="1"/>
    <col min="6" max="6" width="11.28125" style="102" customWidth="1"/>
    <col min="7" max="7" width="13.00390625" style="102" customWidth="1"/>
    <col min="8" max="8" width="11.57421875" style="102" customWidth="1"/>
    <col min="9" max="9" width="12.8515625" style="102" customWidth="1"/>
    <col min="10" max="10" width="11.421875" style="102" customWidth="1"/>
    <col min="11" max="11" width="9.7109375" style="102" customWidth="1"/>
    <col min="12" max="16384" width="9.140625" style="102" customWidth="1"/>
  </cols>
  <sheetData>
    <row r="1" s="101" customFormat="1" ht="13.5">
      <c r="A1" s="103" t="s">
        <v>94</v>
      </c>
    </row>
    <row r="2" spans="1:2" s="101" customFormat="1" ht="13.5">
      <c r="A2" s="101" t="s">
        <v>13</v>
      </c>
      <c r="B2" s="101" t="s">
        <v>12</v>
      </c>
    </row>
    <row r="3" spans="1:2" s="101" customFormat="1" ht="13.5">
      <c r="A3" s="101" t="s">
        <v>16</v>
      </c>
      <c r="B3" s="101" t="s">
        <v>95</v>
      </c>
    </row>
    <row r="4" spans="1:2" s="101" customFormat="1" ht="13.5">
      <c r="A4" s="101" t="s">
        <v>96</v>
      </c>
      <c r="B4" s="101" t="s">
        <v>97</v>
      </c>
    </row>
    <row r="5" s="101" customFormat="1" ht="13.5">
      <c r="A5" s="101" t="s">
        <v>98</v>
      </c>
    </row>
    <row r="6" spans="2:9" s="101" customFormat="1" ht="13.5">
      <c r="B6" s="104" t="s">
        <v>99</v>
      </c>
      <c r="C6" s="104" t="s">
        <v>99</v>
      </c>
      <c r="D6" s="104" t="s">
        <v>99</v>
      </c>
      <c r="E6" s="104" t="s">
        <v>99</v>
      </c>
      <c r="F6" s="104" t="s">
        <v>99</v>
      </c>
      <c r="G6" s="104" t="s">
        <v>99</v>
      </c>
      <c r="H6" s="104" t="s">
        <v>99</v>
      </c>
      <c r="I6" s="104" t="s">
        <v>99</v>
      </c>
    </row>
    <row r="7" spans="2:9" s="101" customFormat="1" ht="13.5">
      <c r="B7" s="105">
        <v>-0.04</v>
      </c>
      <c r="C7" s="105">
        <v>-0.02</v>
      </c>
      <c r="D7" s="105">
        <v>0</v>
      </c>
      <c r="E7" s="105">
        <v>0.02</v>
      </c>
      <c r="F7" s="105">
        <v>0.04</v>
      </c>
      <c r="G7" s="105">
        <v>0.06</v>
      </c>
      <c r="H7" s="105">
        <v>0.08</v>
      </c>
      <c r="I7" s="105">
        <v>0.1</v>
      </c>
    </row>
    <row r="8" s="101" customFormat="1" ht="13.5">
      <c r="A8" s="104" t="s">
        <v>100</v>
      </c>
    </row>
    <row r="9" spans="1:9" s="101" customFormat="1" ht="13.5">
      <c r="A9" s="105">
        <v>0.15</v>
      </c>
      <c r="B9" s="106">
        <f aca="true" t="shared" si="0" ref="B9:B19">DEGREES(ASIN(0.5*A9+(1/A9)*($B$7-0.5*$C$7^2)))</f>
        <v>-11.127912784435187</v>
      </c>
      <c r="C9" s="106">
        <f aca="true" t="shared" si="1" ref="C9:C19">DEGREES(ASIN(0.5*A9+(1/A9)*($C$7-0.5*$C$7^2)))</f>
        <v>-3.4206798954404425</v>
      </c>
      <c r="D9" s="106">
        <f aca="true" t="shared" si="2" ref="D9:D19">DEGREES(ASIN(0.5*A9+(1/A9)*($D$7-0.5*$D$7^2)))</f>
        <v>4.301222304670365</v>
      </c>
      <c r="E9" s="106">
        <f aca="true" t="shared" si="3" ref="E9:E19">DEGREES(ASIN(0.5*A9+(1/A9)*($E$7-0.5*$E$7^2)))</f>
        <v>11.94660226099956</v>
      </c>
      <c r="F9" s="106">
        <f aca="true" t="shared" si="4" ref="F9:F19">DEGREES(ASIN(0.5*A9+(1/A9)*($F$7-0.5*$F$7^2)))</f>
        <v>19.653637664137886</v>
      </c>
      <c r="G9" s="106">
        <f aca="true" t="shared" si="5" ref="G9:G19">DEGREES(ASIN(0.5*A9+(1/A9)*($G$7-0.5*$G$7^2)))</f>
        <v>27.58086209210412</v>
      </c>
      <c r="H9" s="106">
        <f aca="true" t="shared" si="6" ref="H9:H19">DEGREES(ASIN(0.5*A9+(1/A9)*($H$7-0.5*$H$7^2)))</f>
        <v>35.944406858334204</v>
      </c>
      <c r="I9" s="106">
        <f aca="true" t="shared" si="7" ref="I9:I19">DEGREES(ASIN(0.5*A9+(1/A9)*($I$7-0.5*$I$7^2)))</f>
        <v>45.09947203931103</v>
      </c>
    </row>
    <row r="10" spans="1:9" s="101" customFormat="1" ht="13.5">
      <c r="A10" s="105">
        <v>0.2</v>
      </c>
      <c r="B10" s="106">
        <f t="shared" si="0"/>
        <v>-5.796757820626846</v>
      </c>
      <c r="C10" s="106">
        <f t="shared" si="1"/>
        <v>-0.05729578906238246</v>
      </c>
      <c r="D10" s="106">
        <f t="shared" si="2"/>
        <v>5.739170477266787</v>
      </c>
      <c r="E10" s="106">
        <f t="shared" si="3"/>
        <v>11.478487852687966</v>
      </c>
      <c r="F10" s="106">
        <f t="shared" si="4"/>
        <v>17.217511431800364</v>
      </c>
      <c r="G10" s="106">
        <f t="shared" si="5"/>
        <v>23.01673663977543</v>
      </c>
      <c r="H10" s="106">
        <f t="shared" si="6"/>
        <v>28.946975886389914</v>
      </c>
      <c r="I10" s="106">
        <f t="shared" si="7"/>
        <v>35.09963219539351</v>
      </c>
    </row>
    <row r="11" spans="1:9" s="101" customFormat="1" ht="13.5">
      <c r="A11" s="105">
        <v>0.25</v>
      </c>
      <c r="B11" s="106">
        <f t="shared" si="0"/>
        <v>-2.0516273070827133</v>
      </c>
      <c r="C11" s="106">
        <f t="shared" si="1"/>
        <v>2.533298770490916</v>
      </c>
      <c r="D11" s="106">
        <f t="shared" si="2"/>
        <v>7.18075578145828</v>
      </c>
      <c r="E11" s="106">
        <f t="shared" si="3"/>
        <v>11.782671824946364</v>
      </c>
      <c r="F11" s="106">
        <f t="shared" si="4"/>
        <v>16.367663749276826</v>
      </c>
      <c r="G11" s="106">
        <f t="shared" si="5"/>
        <v>20.965147817700327</v>
      </c>
      <c r="H11" s="106">
        <f t="shared" si="6"/>
        <v>25.60725889780934</v>
      </c>
      <c r="I11" s="106">
        <f t="shared" si="7"/>
        <v>30.33135236327139</v>
      </c>
    </row>
    <row r="12" spans="1:9" s="101" customFormat="1" ht="13.5">
      <c r="A12" s="105">
        <v>0.3</v>
      </c>
      <c r="B12" s="106">
        <f t="shared" si="0"/>
        <v>0.916771590634741</v>
      </c>
      <c r="C12" s="106">
        <f t="shared" si="1"/>
        <v>4.741862406202539</v>
      </c>
      <c r="D12" s="106">
        <f t="shared" si="2"/>
        <v>8.62692655867864</v>
      </c>
      <c r="E12" s="106">
        <f t="shared" si="3"/>
        <v>12.474201710498614</v>
      </c>
      <c r="F12" s="106">
        <f t="shared" si="4"/>
        <v>16.299997477631333</v>
      </c>
      <c r="G12" s="106">
        <f t="shared" si="5"/>
        <v>20.120764004648112</v>
      </c>
      <c r="H12" s="106">
        <f t="shared" si="6"/>
        <v>23.95380747631087</v>
      </c>
      <c r="I12" s="106">
        <f t="shared" si="7"/>
        <v>27.81813928465393</v>
      </c>
    </row>
    <row r="13" spans="1:9" s="101" customFormat="1" ht="13.5">
      <c r="A13" s="105">
        <v>0.35</v>
      </c>
      <c r="B13" s="106">
        <f t="shared" si="0"/>
        <v>3.4480126872716386</v>
      </c>
      <c r="C13" s="106">
        <f t="shared" si="1"/>
        <v>6.735479180900537</v>
      </c>
      <c r="D13" s="106">
        <f t="shared" si="2"/>
        <v>10.078658107787662</v>
      </c>
      <c r="E13" s="106">
        <f t="shared" si="3"/>
        <v>13.389605982164092</v>
      </c>
      <c r="F13" s="106">
        <f t="shared" si="4"/>
        <v>16.678435357014827</v>
      </c>
      <c r="G13" s="106">
        <f t="shared" si="5"/>
        <v>19.955226098108508</v>
      </c>
      <c r="H13" s="106">
        <f t="shared" si="6"/>
        <v>23.23034029272935</v>
      </c>
      <c r="I13" s="106">
        <f t="shared" si="7"/>
        <v>26.514774634258846</v>
      </c>
    </row>
    <row r="14" spans="1:9" s="101" customFormat="1" ht="13.5">
      <c r="A14" s="105">
        <v>0.4</v>
      </c>
      <c r="B14" s="106">
        <f t="shared" si="0"/>
        <v>5.710378990561786</v>
      </c>
      <c r="C14" s="106">
        <f t="shared" si="1"/>
        <v>8.597951947796586</v>
      </c>
      <c r="D14" s="106">
        <f t="shared" si="2"/>
        <v>11.53695903281549</v>
      </c>
      <c r="E14" s="106">
        <f t="shared" si="3"/>
        <v>14.447926743531635</v>
      </c>
      <c r="F14" s="106">
        <f t="shared" si="4"/>
        <v>17.33751801753052</v>
      </c>
      <c r="G14" s="106">
        <f t="shared" si="5"/>
        <v>20.212320606445</v>
      </c>
      <c r="H14" s="106">
        <f t="shared" si="6"/>
        <v>23.07900261130911</v>
      </c>
      <c r="I14" s="106">
        <f t="shared" si="7"/>
        <v>25.944479772370006</v>
      </c>
    </row>
    <row r="15" spans="1:9" s="101" customFormat="1" ht="13.5">
      <c r="A15" s="105">
        <v>0.45</v>
      </c>
      <c r="B15" s="106">
        <f t="shared" si="0"/>
        <v>7.797171747953815</v>
      </c>
      <c r="C15" s="106">
        <f t="shared" si="1"/>
        <v>10.37623177826406</v>
      </c>
      <c r="D15" s="106">
        <f t="shared" si="2"/>
        <v>13.002878162913943</v>
      </c>
      <c r="E15" s="106">
        <f t="shared" si="3"/>
        <v>15.604769697143455</v>
      </c>
      <c r="F15" s="106">
        <f t="shared" si="4"/>
        <v>18.1865019997104</v>
      </c>
      <c r="G15" s="106">
        <f t="shared" si="5"/>
        <v>20.75259145946276</v>
      </c>
      <c r="H15" s="106">
        <f t="shared" si="6"/>
        <v>23.307558839746324</v>
      </c>
      <c r="I15" s="106">
        <f t="shared" si="7"/>
        <v>25.85601669781856</v>
      </c>
    </row>
    <row r="16" spans="1:9" s="101" customFormat="1" ht="13.5">
      <c r="A16" s="105">
        <v>0.5</v>
      </c>
      <c r="B16" s="106">
        <f t="shared" si="0"/>
        <v>9.764563033410191</v>
      </c>
      <c r="C16" s="106">
        <f t="shared" si="1"/>
        <v>12.098912260059052</v>
      </c>
      <c r="D16" s="106">
        <f t="shared" si="2"/>
        <v>14.477512185929925</v>
      </c>
      <c r="E16" s="106">
        <f t="shared" si="3"/>
        <v>16.834010125642138</v>
      </c>
      <c r="F16" s="106">
        <f t="shared" si="4"/>
        <v>19.1716907468305</v>
      </c>
      <c r="G16" s="106">
        <f t="shared" si="5"/>
        <v>21.493766519450922</v>
      </c>
      <c r="H16" s="106">
        <f t="shared" si="6"/>
        <v>23.80342564767627</v>
      </c>
      <c r="I16" s="106">
        <f t="shared" si="7"/>
        <v>26.1038811373399</v>
      </c>
    </row>
    <row r="17" spans="1:9" s="101" customFormat="1" ht="13.5">
      <c r="A17" s="105">
        <v>0.55</v>
      </c>
      <c r="B17" s="106">
        <f t="shared" si="0"/>
        <v>11.648619718802594</v>
      </c>
      <c r="C17" s="106">
        <f t="shared" si="1"/>
        <v>13.784617725818883</v>
      </c>
      <c r="D17" s="106">
        <f t="shared" si="2"/>
        <v>15.962014162847236</v>
      </c>
      <c r="E17" s="106">
        <f t="shared" si="3"/>
        <v>18.119505461901582</v>
      </c>
      <c r="F17" s="106">
        <f t="shared" si="4"/>
        <v>20.259507141973227</v>
      </c>
      <c r="G17" s="106">
        <f t="shared" si="5"/>
        <v>22.38437192983528</v>
      </c>
      <c r="H17" s="106">
        <f t="shared" si="6"/>
        <v>24.49641865926348</v>
      </c>
      <c r="I17" s="106">
        <f t="shared" si="7"/>
        <v>26.597961363599985</v>
      </c>
    </row>
    <row r="18" spans="1:9" s="101" customFormat="1" ht="13.5">
      <c r="A18" s="105">
        <v>0.6</v>
      </c>
      <c r="B18" s="106">
        <f t="shared" si="0"/>
        <v>13.473758888624998</v>
      </c>
      <c r="C18" s="106">
        <f t="shared" si="1"/>
        <v>15.44619474137263</v>
      </c>
      <c r="D18" s="106">
        <f t="shared" si="2"/>
        <v>17.457603123722095</v>
      </c>
      <c r="E18" s="106">
        <f t="shared" si="3"/>
        <v>19.450964782866837</v>
      </c>
      <c r="F18" s="106">
        <f t="shared" si="4"/>
        <v>21.42809804212056</v>
      </c>
      <c r="G18" s="106">
        <f t="shared" si="5"/>
        <v>23.39076745180029</v>
      </c>
      <c r="H18" s="106">
        <f t="shared" si="6"/>
        <v>25.34070192394776</v>
      </c>
      <c r="I18" s="106">
        <f t="shared" si="7"/>
        <v>27.279612735978098</v>
      </c>
    </row>
    <row r="19" spans="1:9" s="101" customFormat="1" ht="13.5">
      <c r="A19" s="105">
        <v>0.65</v>
      </c>
      <c r="B19" s="106">
        <f t="shared" si="0"/>
        <v>15.257282848976208</v>
      </c>
      <c r="C19" s="106">
        <f t="shared" si="1"/>
        <v>17.09297158858606</v>
      </c>
      <c r="D19" s="106">
        <f t="shared" si="2"/>
        <v>18.965574988848577</v>
      </c>
      <c r="E19" s="106">
        <f t="shared" si="3"/>
        <v>20.821733651678127</v>
      </c>
      <c r="F19" s="106">
        <f t="shared" si="4"/>
        <v>22.6628435031549</v>
      </c>
      <c r="G19" s="106">
        <f t="shared" si="5"/>
        <v>24.490254572995266</v>
      </c>
      <c r="H19" s="106">
        <f t="shared" si="6"/>
        <v>26.30528274527647</v>
      </c>
      <c r="I19" s="106">
        <f t="shared" si="7"/>
        <v>28.10922128260952</v>
      </c>
    </row>
    <row r="20" s="101" customFormat="1" ht="13.5"/>
    <row r="21" s="101" customFormat="1" ht="13.5"/>
    <row r="22" s="101" customFormat="1" ht="13.5"/>
    <row r="23" s="101" customFormat="1" ht="13.5"/>
    <row r="24" s="101" customFormat="1" ht="13.5"/>
    <row r="25" s="101" customFormat="1" ht="13.5"/>
    <row r="26" s="101" customFormat="1" ht="13.5"/>
    <row r="27" s="101" customFormat="1" ht="13.5"/>
    <row r="28" s="101" customFormat="1" ht="13.5"/>
    <row r="29" s="101" customFormat="1" ht="13.5"/>
    <row r="30" s="101" customFormat="1" ht="13.5"/>
    <row r="31" s="101" customFormat="1" ht="13.5"/>
    <row r="32" s="101" customFormat="1" ht="13.5"/>
    <row r="33" s="101" customFormat="1" ht="13.5"/>
    <row r="34" s="101" customFormat="1" ht="13.5"/>
    <row r="35" s="101" customFormat="1" ht="13.5"/>
    <row r="36" s="101" customFormat="1" ht="13.5"/>
    <row r="37" s="101" customFormat="1" ht="13.5"/>
    <row r="38" s="101" customFormat="1" ht="13.5"/>
    <row r="39" s="101" customFormat="1" ht="13.5"/>
    <row r="40" s="101" customFormat="1" ht="13.5"/>
    <row r="41" s="101" customFormat="1" ht="13.5"/>
    <row r="42" s="101" customFormat="1" ht="13.5"/>
    <row r="43" s="101" customFormat="1" ht="13.5"/>
    <row r="44" s="101" customFormat="1" ht="13.5"/>
    <row r="45" spans="1:2" s="101" customFormat="1" ht="13.5">
      <c r="A45" s="103" t="s">
        <v>101</v>
      </c>
      <c r="B45" s="103"/>
    </row>
    <row r="46" spans="1:2" s="101" customFormat="1" ht="18">
      <c r="A46" s="107" t="s">
        <v>102</v>
      </c>
      <c r="B46" s="103"/>
    </row>
    <row r="47" spans="1:2" s="101" customFormat="1" ht="18">
      <c r="A47" s="108" t="s">
        <v>103</v>
      </c>
      <c r="B47" s="103"/>
    </row>
    <row r="48" spans="1:2" s="101" customFormat="1" ht="13.5">
      <c r="A48" s="103" t="s">
        <v>104</v>
      </c>
      <c r="B48" s="103"/>
    </row>
    <row r="49" spans="1:2" s="101" customFormat="1" ht="13.5">
      <c r="A49" s="109" t="s">
        <v>105</v>
      </c>
      <c r="B49" s="103"/>
    </row>
    <row r="50" spans="1:2" s="101" customFormat="1" ht="13.5">
      <c r="A50" s="109" t="s">
        <v>106</v>
      </c>
      <c r="B50" s="103"/>
    </row>
    <row r="51" s="101" customFormat="1" ht="13.5">
      <c r="A51" s="109" t="s">
        <v>107</v>
      </c>
    </row>
    <row r="52" s="101" customFormat="1" ht="13.5">
      <c r="A52" s="109" t="s">
        <v>108</v>
      </c>
    </row>
    <row r="53" s="101" customFormat="1" ht="13.5">
      <c r="A53" s="109" t="s">
        <v>109</v>
      </c>
    </row>
    <row r="54" s="101" customFormat="1" ht="13.5">
      <c r="A54" s="109" t="s">
        <v>110</v>
      </c>
    </row>
    <row r="55" spans="1:4" s="101" customFormat="1" ht="13.5">
      <c r="A55" s="109"/>
      <c r="B55" s="110" t="s">
        <v>111</v>
      </c>
      <c r="C55" s="110"/>
      <c r="D55" s="110" t="s">
        <v>112</v>
      </c>
    </row>
    <row r="56" spans="1:4" s="101" customFormat="1" ht="13.5">
      <c r="A56" s="109"/>
      <c r="B56" s="110">
        <v>-10</v>
      </c>
      <c r="C56" s="110"/>
      <c r="D56" s="111">
        <f>SIN(B56*PI()/180)</f>
        <v>-0.17364817766693033</v>
      </c>
    </row>
    <row r="57" spans="1:4" s="101" customFormat="1" ht="13.5">
      <c r="A57" s="109"/>
      <c r="B57" s="110">
        <v>-5</v>
      </c>
      <c r="C57" s="110"/>
      <c r="D57" s="111">
        <f aca="true" t="shared" si="8" ref="D57:D63">SIN(B57*PI()/180)</f>
        <v>-0.08715574274765817</v>
      </c>
    </row>
    <row r="58" spans="1:4" s="101" customFormat="1" ht="13.5">
      <c r="A58" s="109"/>
      <c r="B58" s="110">
        <v>0</v>
      </c>
      <c r="C58" s="110"/>
      <c r="D58" s="111">
        <f t="shared" si="8"/>
        <v>0</v>
      </c>
    </row>
    <row r="59" spans="1:4" s="101" customFormat="1" ht="13.5">
      <c r="A59" s="109"/>
      <c r="B59" s="110">
        <v>5</v>
      </c>
      <c r="C59" s="110"/>
      <c r="D59" s="111">
        <f t="shared" si="8"/>
        <v>0.08715574274765817</v>
      </c>
    </row>
    <row r="60" spans="1:4" s="101" customFormat="1" ht="13.5">
      <c r="A60" s="109"/>
      <c r="B60" s="110">
        <v>10</v>
      </c>
      <c r="C60" s="110"/>
      <c r="D60" s="111">
        <f t="shared" si="8"/>
        <v>0.17364817766693033</v>
      </c>
    </row>
    <row r="61" spans="1:4" s="101" customFormat="1" ht="13.5">
      <c r="A61" s="109"/>
      <c r="B61" s="110">
        <v>15</v>
      </c>
      <c r="C61" s="110"/>
      <c r="D61" s="111">
        <f t="shared" si="8"/>
        <v>0.25881904510252074</v>
      </c>
    </row>
    <row r="62" spans="1:4" s="101" customFormat="1" ht="13.5">
      <c r="A62" s="109"/>
      <c r="B62" s="110">
        <v>20</v>
      </c>
      <c r="C62" s="110"/>
      <c r="D62" s="111">
        <f t="shared" si="8"/>
        <v>0.3420201433256687</v>
      </c>
    </row>
    <row r="63" spans="1:4" s="101" customFormat="1" ht="13.5">
      <c r="A63" s="109"/>
      <c r="B63" s="110">
        <v>25</v>
      </c>
      <c r="C63" s="110"/>
      <c r="D63" s="111">
        <f t="shared" si="8"/>
        <v>0.42261826174069944</v>
      </c>
    </row>
    <row r="64" s="101" customFormat="1" ht="13.5">
      <c r="A64" s="109"/>
    </row>
    <row r="65" spans="2:9" s="101" customFormat="1" ht="27">
      <c r="B65" s="112" t="s">
        <v>113</v>
      </c>
      <c r="C65" s="113"/>
      <c r="D65" s="114" t="s">
        <v>114</v>
      </c>
      <c r="E65" s="115" t="s">
        <v>16</v>
      </c>
      <c r="F65" s="115" t="s">
        <v>13</v>
      </c>
      <c r="G65" s="115" t="s">
        <v>99</v>
      </c>
      <c r="H65" s="116" t="s">
        <v>115</v>
      </c>
      <c r="I65" s="127"/>
    </row>
    <row r="66" spans="1:9" s="101" customFormat="1" ht="13.5">
      <c r="A66" s="101">
        <v>1</v>
      </c>
      <c r="B66" s="117" t="s">
        <v>116</v>
      </c>
      <c r="C66" s="118"/>
      <c r="D66" s="114" t="s">
        <v>117</v>
      </c>
      <c r="E66" s="115" t="s">
        <v>118</v>
      </c>
      <c r="F66" s="115" t="s">
        <v>119</v>
      </c>
      <c r="G66" s="115">
        <v>0.021</v>
      </c>
      <c r="H66" s="119">
        <f>60/240</f>
        <v>0.25</v>
      </c>
      <c r="I66" s="119">
        <f>145/240</f>
        <v>0.6041666666666666</v>
      </c>
    </row>
    <row r="67" spans="1:9" s="101" customFormat="1" ht="13.5">
      <c r="A67" s="101">
        <v>2</v>
      </c>
      <c r="B67" s="120" t="s">
        <v>120</v>
      </c>
      <c r="C67" s="121"/>
      <c r="D67" s="114" t="s">
        <v>121</v>
      </c>
      <c r="E67" s="115" t="s">
        <v>122</v>
      </c>
      <c r="F67" s="115" t="s">
        <v>123</v>
      </c>
      <c r="G67" s="115">
        <v>0.063</v>
      </c>
      <c r="H67" s="119">
        <f>60/237</f>
        <v>0.25316455696202533</v>
      </c>
      <c r="I67" s="119">
        <f>145/237</f>
        <v>0.6118143459915611</v>
      </c>
    </row>
    <row r="68" spans="1:9" s="101" customFormat="1" ht="13.5">
      <c r="A68" s="101">
        <v>3</v>
      </c>
      <c r="B68" s="117" t="s">
        <v>124</v>
      </c>
      <c r="C68" s="118"/>
      <c r="D68" s="114" t="s">
        <v>125</v>
      </c>
      <c r="E68" s="115" t="s">
        <v>126</v>
      </c>
      <c r="F68" s="115" t="s">
        <v>127</v>
      </c>
      <c r="G68" s="122">
        <f>17.8/233.2</f>
        <v>0.07632933104631219</v>
      </c>
      <c r="H68" s="119">
        <f>60/233.2</f>
        <v>0.25728987993138935</v>
      </c>
      <c r="I68" s="119">
        <f>145/233.2</f>
        <v>0.6217838765008576</v>
      </c>
    </row>
    <row r="69" spans="1:9" s="101" customFormat="1" ht="15" customHeight="1">
      <c r="A69" s="101">
        <v>4</v>
      </c>
      <c r="B69" s="117" t="s">
        <v>128</v>
      </c>
      <c r="C69" s="118"/>
      <c r="D69" s="114" t="s">
        <v>129</v>
      </c>
      <c r="E69" s="115" t="s">
        <v>130</v>
      </c>
      <c r="F69" s="115" t="s">
        <v>131</v>
      </c>
      <c r="G69" s="115">
        <v>0.07</v>
      </c>
      <c r="H69" s="119">
        <f>60/228</f>
        <v>0.2631578947368421</v>
      </c>
      <c r="I69" s="119">
        <f>145/228</f>
        <v>0.6359649122807017</v>
      </c>
    </row>
    <row r="70" spans="1:9" s="101" customFormat="1" ht="15" customHeight="1">
      <c r="A70" s="101">
        <v>5</v>
      </c>
      <c r="B70" s="120" t="s">
        <v>132</v>
      </c>
      <c r="C70" s="121"/>
      <c r="D70" s="114" t="s">
        <v>133</v>
      </c>
      <c r="E70" s="115" t="s">
        <v>134</v>
      </c>
      <c r="F70" s="115" t="s">
        <v>135</v>
      </c>
      <c r="G70" s="115">
        <v>0.034</v>
      </c>
      <c r="H70" s="119">
        <f>60/320</f>
        <v>0.1875</v>
      </c>
      <c r="I70" s="119">
        <f>145/320</f>
        <v>0.453125</v>
      </c>
    </row>
    <row r="71" spans="1:11" ht="13.5">
      <c r="A71" s="123" t="s">
        <v>136</v>
      </c>
      <c r="B71" s="124">
        <v>1</v>
      </c>
      <c r="C71" s="104" t="s">
        <v>137</v>
      </c>
      <c r="D71" s="124">
        <v>2</v>
      </c>
      <c r="E71" s="104" t="s">
        <v>138</v>
      </c>
      <c r="F71" s="124">
        <v>3</v>
      </c>
      <c r="G71" s="104" t="s">
        <v>139</v>
      </c>
      <c r="H71" s="124">
        <v>4</v>
      </c>
      <c r="I71" s="104" t="s">
        <v>140</v>
      </c>
      <c r="J71" s="124">
        <v>5</v>
      </c>
      <c r="K71" s="101" t="s">
        <v>141</v>
      </c>
    </row>
    <row r="72" spans="1:11" ht="13.5">
      <c r="A72" s="125">
        <v>50</v>
      </c>
      <c r="B72" s="126">
        <f aca="true" t="shared" si="9" ref="B72:B107">ASIN(A72/2/240+240/A72*(5/240-0.5*(5/240)^2))*180/PI()-12</f>
        <v>-0.28023969421121997</v>
      </c>
      <c r="C72" s="126">
        <f aca="true" t="shared" si="10" ref="C72:C107">ABS(B72*50)/A72</f>
        <v>0.28023969421121997</v>
      </c>
      <c r="D72" s="126">
        <f aca="true" t="shared" si="11" ref="D72:D107">ASIN(A72/2/237+237/A72*(15/237-0.5*(15/237)^2))*180/PI()-21.5</f>
        <v>1.8278295512187093</v>
      </c>
      <c r="E72" s="126">
        <f aca="true" t="shared" si="12" ref="E72:E107">ABS(D72*50)/A72</f>
        <v>1.8278295512187095</v>
      </c>
      <c r="F72" s="126">
        <f aca="true" t="shared" si="13" ref="F72:F107">ASIN(A72/2/233.2+233.2/A72*(17.8/233.2-0.5*(17.8/233.25)^2))*180/PI()-23.62</f>
        <v>3.0995191223966856</v>
      </c>
      <c r="G72" s="126">
        <f aca="true" t="shared" si="14" ref="G72:G107">ABS(F72*50)/A72</f>
        <v>3.0995191223966856</v>
      </c>
      <c r="H72" s="126">
        <f aca="true" t="shared" si="15" ref="H72:H107">ASIN(A72/2/228+228/A72*(16/228-0.5*(16/228)^2))*180/PI()-23</f>
        <v>1.7349420114739402</v>
      </c>
      <c r="I72" s="126">
        <f aca="true" t="shared" si="16" ref="I72:I107">ABS(H72*50)/A72</f>
        <v>1.7349420114739402</v>
      </c>
      <c r="J72" s="126">
        <f aca="true" t="shared" si="17" ref="J72:J107">ASIN(A72/2/320+320/A72*(11/320-0.5*(11/320)^2))*180/PI()-16</f>
        <v>1.1181899298576674</v>
      </c>
      <c r="K72" s="128">
        <f aca="true" t="shared" si="18" ref="K72:K107">ABS(J72*50)/A72</f>
        <v>1.1181899298576674</v>
      </c>
    </row>
    <row r="73" spans="1:11" ht="13.5">
      <c r="A73" s="125">
        <v>51</v>
      </c>
      <c r="B73" s="126">
        <f t="shared" si="9"/>
        <v>-0.2718733569832601</v>
      </c>
      <c r="C73" s="126">
        <f t="shared" si="10"/>
        <v>0.2665425068463334</v>
      </c>
      <c r="D73" s="126">
        <f t="shared" si="11"/>
        <v>1.604232473124533</v>
      </c>
      <c r="E73" s="126">
        <f t="shared" si="12"/>
        <v>1.5727769344358167</v>
      </c>
      <c r="F73" s="126">
        <f t="shared" si="13"/>
        <v>2.806748954398131</v>
      </c>
      <c r="G73" s="126">
        <f t="shared" si="14"/>
        <v>2.7517146611746384</v>
      </c>
      <c r="H73" s="126">
        <f t="shared" si="15"/>
        <v>1.4915907203564807</v>
      </c>
      <c r="I73" s="126">
        <f t="shared" si="16"/>
        <v>1.462343843486746</v>
      </c>
      <c r="J73" s="126">
        <f t="shared" si="17"/>
        <v>0.9577633000041494</v>
      </c>
      <c r="K73" s="128">
        <f t="shared" si="18"/>
        <v>0.9389836274550485</v>
      </c>
    </row>
    <row r="74" spans="1:11" ht="13.5">
      <c r="A74" s="125">
        <v>52</v>
      </c>
      <c r="B74" s="126">
        <f t="shared" si="9"/>
        <v>-0.25913948877312976</v>
      </c>
      <c r="C74" s="126">
        <f t="shared" si="10"/>
        <v>0.24917258535877862</v>
      </c>
      <c r="D74" s="126">
        <f t="shared" si="11"/>
        <v>1.3946324274793298</v>
      </c>
      <c r="E74" s="126">
        <f t="shared" si="12"/>
        <v>1.3409927187301247</v>
      </c>
      <c r="F74" s="126">
        <f t="shared" si="13"/>
        <v>2.531202302409774</v>
      </c>
      <c r="G74" s="126">
        <f t="shared" si="14"/>
        <v>2.4338483677017058</v>
      </c>
      <c r="H74" s="126">
        <f t="shared" si="15"/>
        <v>1.2633431335235557</v>
      </c>
      <c r="I74" s="126">
        <f t="shared" si="16"/>
        <v>1.214753013003419</v>
      </c>
      <c r="J74" s="126">
        <f t="shared" si="17"/>
        <v>0.8072328741432244</v>
      </c>
      <c r="K74" s="128">
        <f t="shared" si="18"/>
        <v>0.7761854559069465</v>
      </c>
    </row>
    <row r="75" spans="1:11" ht="13.5">
      <c r="A75" s="125">
        <v>53</v>
      </c>
      <c r="B75" s="126">
        <f t="shared" si="9"/>
        <v>-0.24228470548261782</v>
      </c>
      <c r="C75" s="126">
        <f t="shared" si="10"/>
        <v>0.22857047687039417</v>
      </c>
      <c r="D75" s="126">
        <f t="shared" si="11"/>
        <v>1.198191359974917</v>
      </c>
      <c r="E75" s="126">
        <f t="shared" si="12"/>
        <v>1.1303692075235066</v>
      </c>
      <c r="F75" s="126">
        <f t="shared" si="13"/>
        <v>2.271819492600091</v>
      </c>
      <c r="G75" s="126">
        <f t="shared" si="14"/>
        <v>2.14322593641518</v>
      </c>
      <c r="H75" s="126">
        <f t="shared" si="15"/>
        <v>1.049287040111416</v>
      </c>
      <c r="I75" s="126">
        <f t="shared" si="16"/>
        <v>0.9898934340673736</v>
      </c>
      <c r="J75" s="126">
        <f t="shared" si="17"/>
        <v>0.6660219407787231</v>
      </c>
      <c r="K75" s="128">
        <f t="shared" si="18"/>
        <v>0.6283225856403049</v>
      </c>
    </row>
    <row r="76" spans="1:11" ht="13.5">
      <c r="A76" s="125">
        <v>54</v>
      </c>
      <c r="B76" s="126">
        <f t="shared" si="9"/>
        <v>-0.2215371751657269</v>
      </c>
      <c r="C76" s="126">
        <f t="shared" si="10"/>
        <v>0.20512701404233974</v>
      </c>
      <c r="D76" s="126">
        <f t="shared" si="11"/>
        <v>1.0141380075862152</v>
      </c>
      <c r="E76" s="126">
        <f t="shared" si="12"/>
        <v>0.93901667369094</v>
      </c>
      <c r="F76" s="126">
        <f t="shared" si="13"/>
        <v>2.027628145033372</v>
      </c>
      <c r="G76" s="126">
        <f t="shared" si="14"/>
        <v>1.8774334676234927</v>
      </c>
      <c r="H76" s="126">
        <f t="shared" si="15"/>
        <v>0.8485837321555287</v>
      </c>
      <c r="I76" s="126">
        <f t="shared" si="16"/>
        <v>0.7857256779217858</v>
      </c>
      <c r="J76" s="126">
        <f t="shared" si="17"/>
        <v>0.5335981592530992</v>
      </c>
      <c r="K76" s="128">
        <f t="shared" si="18"/>
        <v>0.49407236967879553</v>
      </c>
    </row>
    <row r="77" spans="1:11" ht="13.5">
      <c r="A77" s="125">
        <v>55</v>
      </c>
      <c r="B77" s="126">
        <f t="shared" si="9"/>
        <v>-0.19710830969291848</v>
      </c>
      <c r="C77" s="126">
        <f t="shared" si="10"/>
        <v>0.1791893724481077</v>
      </c>
      <c r="D77" s="126">
        <f t="shared" si="11"/>
        <v>0.8417612876595015</v>
      </c>
      <c r="E77" s="126">
        <f t="shared" si="12"/>
        <v>0.7652375342359105</v>
      </c>
      <c r="F77" s="126">
        <f t="shared" si="13"/>
        <v>1.79773418899493</v>
      </c>
      <c r="G77" s="126">
        <f t="shared" si="14"/>
        <v>1.6343038081772092</v>
      </c>
      <c r="H77" s="126">
        <f t="shared" si="15"/>
        <v>0.6604606351139104</v>
      </c>
      <c r="I77" s="126">
        <f t="shared" si="16"/>
        <v>0.600418759194464</v>
      </c>
      <c r="J77" s="126">
        <f t="shared" si="17"/>
        <v>0.4094693447504767</v>
      </c>
      <c r="K77" s="128">
        <f t="shared" si="18"/>
        <v>0.3722448588640697</v>
      </c>
    </row>
    <row r="78" spans="1:11" ht="13.5">
      <c r="A78" s="125">
        <v>56</v>
      </c>
      <c r="B78" s="126">
        <f t="shared" si="9"/>
        <v>-0.16919427335437653</v>
      </c>
      <c r="C78" s="126">
        <f t="shared" si="10"/>
        <v>0.15106631549497904</v>
      </c>
      <c r="D78" s="126">
        <f t="shared" si="11"/>
        <v>0.6804044673602903</v>
      </c>
      <c r="E78" s="126">
        <f t="shared" si="12"/>
        <v>0.6075039887145449</v>
      </c>
      <c r="F78" s="126">
        <f t="shared" si="13"/>
        <v>1.581313986951919</v>
      </c>
      <c r="G78" s="126">
        <f t="shared" si="14"/>
        <v>1.4118874883499277</v>
      </c>
      <c r="H78" s="126">
        <f t="shared" si="15"/>
        <v>0.48420482111573193</v>
      </c>
      <c r="I78" s="126">
        <f t="shared" si="16"/>
        <v>0.4323257331390464</v>
      </c>
      <c r="J78" s="126">
        <f t="shared" si="17"/>
        <v>0.29317972808606285</v>
      </c>
      <c r="K78" s="128">
        <f t="shared" si="18"/>
        <v>0.26176761436255613</v>
      </c>
    </row>
    <row r="79" spans="1:11" ht="13.5">
      <c r="A79" s="125">
        <v>57</v>
      </c>
      <c r="B79" s="126">
        <f t="shared" si="9"/>
        <v>-0.13797733113331034</v>
      </c>
      <c r="C79" s="126">
        <f t="shared" si="10"/>
        <v>0.12103274660816697</v>
      </c>
      <c r="D79" s="126">
        <f t="shared" si="11"/>
        <v>0.529460006744884</v>
      </c>
      <c r="E79" s="126">
        <f t="shared" si="12"/>
        <v>0.464438602407793</v>
      </c>
      <c r="F79" s="126">
        <f t="shared" si="13"/>
        <v>1.377607407927563</v>
      </c>
      <c r="G79" s="126">
        <f t="shared" si="14"/>
        <v>1.208427550813652</v>
      </c>
      <c r="H79" s="126">
        <f t="shared" si="15"/>
        <v>0.31915728223017226</v>
      </c>
      <c r="I79" s="126">
        <f t="shared" si="16"/>
        <v>0.2799625282720809</v>
      </c>
      <c r="J79" s="126">
        <f t="shared" si="17"/>
        <v>0.18430662863131175</v>
      </c>
      <c r="K79" s="128">
        <f t="shared" si="18"/>
        <v>0.16167248125553663</v>
      </c>
    </row>
    <row r="80" spans="1:11" ht="13.5">
      <c r="A80" s="125">
        <v>58</v>
      </c>
      <c r="B80" s="126">
        <f t="shared" si="9"/>
        <v>-0.10362705620682</v>
      </c>
      <c r="C80" s="126">
        <f t="shared" si="10"/>
        <v>0.08933366914381034</v>
      </c>
      <c r="D80" s="126">
        <f t="shared" si="11"/>
        <v>0.38836498528011987</v>
      </c>
      <c r="E80" s="126">
        <f t="shared" si="12"/>
        <v>0.3347974011035516</v>
      </c>
      <c r="F80" s="126">
        <f t="shared" si="13"/>
        <v>1.1859117171010176</v>
      </c>
      <c r="G80" s="126">
        <f t="shared" si="14"/>
        <v>1.0223376871560497</v>
      </c>
      <c r="H80" s="126">
        <f t="shared" si="15"/>
        <v>0.16470786042338403</v>
      </c>
      <c r="I80" s="126">
        <f t="shared" si="16"/>
        <v>0.14198953484774485</v>
      </c>
      <c r="J80" s="126">
        <f t="shared" si="17"/>
        <v>0.0824574877634987</v>
      </c>
      <c r="K80" s="128">
        <f t="shared" si="18"/>
        <v>0.07108404117542992</v>
      </c>
    </row>
    <row r="81" spans="1:11" ht="13.5">
      <c r="A81" s="125">
        <v>59</v>
      </c>
      <c r="B81" s="126">
        <f t="shared" si="9"/>
        <v>-0.0663014135487483</v>
      </c>
      <c r="C81" s="126">
        <f t="shared" si="10"/>
        <v>0.05618763860063415</v>
      </c>
      <c r="D81" s="126">
        <f t="shared" si="11"/>
        <v>0.2565970353288627</v>
      </c>
      <c r="E81" s="126">
        <f t="shared" si="12"/>
        <v>0.21745511468547685</v>
      </c>
      <c r="F81" s="126">
        <f t="shared" si="13"/>
        <v>1.0055761697161323</v>
      </c>
      <c r="G81" s="126">
        <f t="shared" si="14"/>
        <v>0.8521831946746884</v>
      </c>
      <c r="H81" s="126">
        <f t="shared" si="15"/>
        <v>0.020290746828692363</v>
      </c>
      <c r="I81" s="126">
        <f t="shared" si="16"/>
        <v>0.017195548159908782</v>
      </c>
      <c r="J81" s="126">
        <f t="shared" si="17"/>
        <v>-0.012732782205727489</v>
      </c>
      <c r="K81" s="128">
        <f t="shared" si="18"/>
        <v>0.010790493394684313</v>
      </c>
    </row>
    <row r="82" spans="1:11" ht="13.5">
      <c r="A82" s="125">
        <v>60</v>
      </c>
      <c r="B82" s="126">
        <f t="shared" si="9"/>
        <v>-0.026147734233481046</v>
      </c>
      <c r="C82" s="126">
        <f t="shared" si="10"/>
        <v>0.02178977852790087</v>
      </c>
      <c r="D82" s="126">
        <f t="shared" si="11"/>
        <v>0.13367071749204484</v>
      </c>
      <c r="E82" s="126">
        <f t="shared" si="12"/>
        <v>0.11139226457670404</v>
      </c>
      <c r="F82" s="126">
        <f t="shared" si="13"/>
        <v>0.8359972148516626</v>
      </c>
      <c r="G82" s="126">
        <f t="shared" si="14"/>
        <v>0.6966643457097188</v>
      </c>
      <c r="H82" s="126">
        <f t="shared" si="15"/>
        <v>-0.11461952384143359</v>
      </c>
      <c r="I82" s="126">
        <f t="shared" si="16"/>
        <v>0.09551626986786133</v>
      </c>
      <c r="J82" s="126">
        <f t="shared" si="17"/>
        <v>-0.1016041723110277</v>
      </c>
      <c r="K82" s="128">
        <f t="shared" si="18"/>
        <v>0.08467014359252308</v>
      </c>
    </row>
    <row r="83" spans="1:11" ht="13.5">
      <c r="A83" s="125">
        <v>61</v>
      </c>
      <c r="B83" s="126">
        <f t="shared" si="9"/>
        <v>0.0166964068958233</v>
      </c>
      <c r="C83" s="126">
        <f t="shared" si="10"/>
        <v>0.013685579422805984</v>
      </c>
      <c r="D83" s="126">
        <f t="shared" si="11"/>
        <v>0.01913428218352209</v>
      </c>
      <c r="E83" s="126">
        <f t="shared" si="12"/>
        <v>0.015683837855345974</v>
      </c>
      <c r="F83" s="126">
        <f t="shared" si="13"/>
        <v>0.6766142290232509</v>
      </c>
      <c r="G83" s="126">
        <f t="shared" si="14"/>
        <v>0.5546018270682385</v>
      </c>
      <c r="H83" s="126">
        <f t="shared" si="15"/>
        <v>-0.2405116469374633</v>
      </c>
      <c r="I83" s="126">
        <f t="shared" si="16"/>
        <v>0.1971406942110355</v>
      </c>
      <c r="J83" s="126">
        <f t="shared" si="17"/>
        <v>-0.1844737077526979</v>
      </c>
      <c r="K83" s="128">
        <f t="shared" si="18"/>
        <v>0.15120795717434254</v>
      </c>
    </row>
    <row r="84" spans="1:11" ht="13.5">
      <c r="A84" s="125">
        <v>62</v>
      </c>
      <c r="B84" s="126">
        <f t="shared" si="9"/>
        <v>0.06210239918260285</v>
      </c>
      <c r="C84" s="126">
        <f t="shared" si="10"/>
        <v>0.050082579985970044</v>
      </c>
      <c r="D84" s="126">
        <f t="shared" si="11"/>
        <v>-0.08743323024273408</v>
      </c>
      <c r="E84" s="126">
        <f t="shared" si="12"/>
        <v>0.070510669550592</v>
      </c>
      <c r="F84" s="126">
        <f t="shared" si="13"/>
        <v>0.5269057115416551</v>
      </c>
      <c r="G84" s="126">
        <f t="shared" si="14"/>
        <v>0.4249239609206896</v>
      </c>
      <c r="H84" s="126">
        <f t="shared" si="15"/>
        <v>-0.3578407436044806</v>
      </c>
      <c r="I84" s="126">
        <f t="shared" si="16"/>
        <v>0.28858124484232306</v>
      </c>
      <c r="J84" s="126">
        <f t="shared" si="17"/>
        <v>-0.26163736404975424</v>
      </c>
      <c r="K84" s="128">
        <f t="shared" si="18"/>
        <v>0.21099787423367278</v>
      </c>
    </row>
    <row r="85" spans="1:11" ht="13.5">
      <c r="A85" s="125">
        <v>63</v>
      </c>
      <c r="B85" s="126">
        <f t="shared" si="9"/>
        <v>0.10994988013631435</v>
      </c>
      <c r="C85" s="126">
        <f t="shared" si="10"/>
        <v>0.08726180963199552</v>
      </c>
      <c r="D85" s="126">
        <f t="shared" si="11"/>
        <v>-0.18642459181595328</v>
      </c>
      <c r="E85" s="126">
        <f t="shared" si="12"/>
        <v>0.14795602525075657</v>
      </c>
      <c r="F85" s="126">
        <f t="shared" si="13"/>
        <v>0.3863858835077174</v>
      </c>
      <c r="G85" s="126">
        <f t="shared" si="14"/>
        <v>0.30665546310136305</v>
      </c>
      <c r="H85" s="126">
        <f t="shared" si="15"/>
        <v>-0.46703122496132465</v>
      </c>
      <c r="I85" s="126">
        <f t="shared" si="16"/>
        <v>0.37065970235025764</v>
      </c>
      <c r="J85" s="126">
        <f t="shared" si="17"/>
        <v>-0.3333717934739049</v>
      </c>
      <c r="K85" s="128">
        <f t="shared" si="18"/>
        <v>0.2645807884713531</v>
      </c>
    </row>
    <row r="86" spans="1:11" ht="13.5">
      <c r="A86" s="125">
        <v>64</v>
      </c>
      <c r="B86" s="126">
        <f t="shared" si="9"/>
        <v>0.16012608704842002</v>
      </c>
      <c r="C86" s="126">
        <f t="shared" si="10"/>
        <v>0.12509850550657814</v>
      </c>
      <c r="D86" s="126">
        <f t="shared" si="11"/>
        <v>-0.2782067270922042</v>
      </c>
      <c r="E86" s="126">
        <f t="shared" si="12"/>
        <v>0.2173490055407845</v>
      </c>
      <c r="F86" s="126">
        <f t="shared" si="13"/>
        <v>0.25460164065043855</v>
      </c>
      <c r="G86" s="126">
        <f t="shared" si="14"/>
        <v>0.19890753175815512</v>
      </c>
      <c r="H86" s="126">
        <f t="shared" si="15"/>
        <v>-0.5684793646270165</v>
      </c>
      <c r="I86" s="126">
        <f t="shared" si="16"/>
        <v>0.44412450361485667</v>
      </c>
      <c r="J86" s="126">
        <f t="shared" si="17"/>
        <v>-0.39993588343560127</v>
      </c>
      <c r="K86" s="128">
        <f t="shared" si="18"/>
        <v>0.3124499089340635</v>
      </c>
    </row>
    <row r="87" spans="1:11" ht="13.5">
      <c r="A87" s="125">
        <v>65</v>
      </c>
      <c r="B87" s="126">
        <f t="shared" si="9"/>
        <v>0.21252526889948165</v>
      </c>
      <c r="C87" s="126">
        <f t="shared" si="10"/>
        <v>0.16348097607652434</v>
      </c>
      <c r="D87" s="126">
        <f t="shared" si="11"/>
        <v>-0.3631228217179334</v>
      </c>
      <c r="E87" s="126">
        <f t="shared" si="12"/>
        <v>0.2793252474753334</v>
      </c>
      <c r="F87" s="126">
        <f t="shared" si="13"/>
        <v>0.13112981720572847</v>
      </c>
      <c r="G87" s="126">
        <f t="shared" si="14"/>
        <v>0.10086909015825267</v>
      </c>
      <c r="H87" s="126">
        <f t="shared" si="15"/>
        <v>-0.6625556140408122</v>
      </c>
      <c r="I87" s="126">
        <f t="shared" si="16"/>
        <v>0.5096581646467786</v>
      </c>
      <c r="J87" s="126">
        <f t="shared" si="17"/>
        <v>-0.46157216569555004</v>
      </c>
      <c r="K87" s="128">
        <f t="shared" si="18"/>
        <v>0.35505551207350006</v>
      </c>
    </row>
    <row r="88" spans="1:11" ht="13.5">
      <c r="A88" s="125">
        <v>66</v>
      </c>
      <c r="B88" s="126">
        <f t="shared" si="9"/>
        <v>0.2670481521105792</v>
      </c>
      <c r="C88" s="126">
        <f t="shared" si="10"/>
        <v>0.20230920614437817</v>
      </c>
      <c r="D88" s="126">
        <f t="shared" si="11"/>
        <v>-0.4414942259620709</v>
      </c>
      <c r="E88" s="126">
        <f t="shared" si="12"/>
        <v>0.33446532269853857</v>
      </c>
      <c r="F88" s="126">
        <f t="shared" si="13"/>
        <v>0.015574723925748657</v>
      </c>
      <c r="G88" s="126">
        <f t="shared" si="14"/>
        <v>0.011799033277082316</v>
      </c>
      <c r="H88" s="126">
        <f t="shared" si="15"/>
        <v>-0.7496066904018832</v>
      </c>
      <c r="I88" s="126">
        <f t="shared" si="16"/>
        <v>0.567883856365063</v>
      </c>
      <c r="J88" s="126">
        <f t="shared" si="17"/>
        <v>-0.5185080928794275</v>
      </c>
      <c r="K88" s="128">
        <f t="shared" si="18"/>
        <v>0.39280916127229354</v>
      </c>
    </row>
    <row r="89" spans="1:11" ht="13.5">
      <c r="A89" s="125">
        <v>67</v>
      </c>
      <c r="B89" s="126">
        <f t="shared" si="9"/>
        <v>0.3236014544690615</v>
      </c>
      <c r="C89" s="126">
        <f t="shared" si="10"/>
        <v>0.24149362273810562</v>
      </c>
      <c r="D89" s="126">
        <f t="shared" si="11"/>
        <v>-0.5136221763119728</v>
      </c>
      <c r="E89" s="126">
        <f t="shared" si="12"/>
        <v>0.3833001315760991</v>
      </c>
      <c r="F89" s="126">
        <f t="shared" si="13"/>
        <v>-0.09243407170693274</v>
      </c>
      <c r="G89" s="126">
        <f t="shared" si="14"/>
        <v>0.06898065052756175</v>
      </c>
      <c r="H89" s="126">
        <f t="shared" si="15"/>
        <v>-0.8299574631266857</v>
      </c>
      <c r="I89" s="126">
        <f t="shared" si="16"/>
        <v>0.6193712411393177</v>
      </c>
      <c r="J89" s="126">
        <f t="shared" si="17"/>
        <v>-0.5709571967160212</v>
      </c>
      <c r="K89" s="128">
        <f t="shared" si="18"/>
        <v>0.4260874602358367</v>
      </c>
    </row>
    <row r="90" spans="1:11" ht="13.5">
      <c r="A90" s="125">
        <v>68</v>
      </c>
      <c r="B90" s="126">
        <f t="shared" si="9"/>
        <v>0.38209744223133946</v>
      </c>
      <c r="C90" s="126">
        <f t="shared" si="10"/>
        <v>0.2809540016406908</v>
      </c>
      <c r="D90" s="126">
        <f t="shared" si="11"/>
        <v>-0.5797893552773914</v>
      </c>
      <c r="E90" s="126">
        <f t="shared" si="12"/>
        <v>0.4263157024098466</v>
      </c>
      <c r="F90" s="126">
        <f t="shared" si="13"/>
        <v>-0.19324375075495936</v>
      </c>
      <c r="G90" s="126">
        <f t="shared" si="14"/>
        <v>0.142090993202176</v>
      </c>
      <c r="H90" s="126">
        <f t="shared" si="15"/>
        <v>-0.9039126613722352</v>
      </c>
      <c r="I90" s="126">
        <f t="shared" si="16"/>
        <v>0.6646416627737024</v>
      </c>
      <c r="J90" s="126">
        <f t="shared" si="17"/>
        <v>-0.6191201406474587</v>
      </c>
      <c r="K90" s="128">
        <f t="shared" si="18"/>
        <v>0.4552353975348961</v>
      </c>
    </row>
    <row r="91" spans="1:11" ht="13.5">
      <c r="A91" s="125">
        <v>69</v>
      </c>
      <c r="B91" s="126">
        <f t="shared" si="9"/>
        <v>0.44245352598987253</v>
      </c>
      <c r="C91" s="126">
        <f t="shared" si="10"/>
        <v>0.32061849709411055</v>
      </c>
      <c r="D91" s="126">
        <f t="shared" si="11"/>
        <v>-0.6402613070161927</v>
      </c>
      <c r="E91" s="126">
        <f t="shared" si="12"/>
        <v>0.46395746885231354</v>
      </c>
      <c r="F91" s="126">
        <f t="shared" si="13"/>
        <v>-0.28718005768313404</v>
      </c>
      <c r="G91" s="126">
        <f t="shared" si="14"/>
        <v>0.2081014910747348</v>
      </c>
      <c r="H91" s="126">
        <f t="shared" si="15"/>
        <v>-0.9717584223076976</v>
      </c>
      <c r="I91" s="126">
        <f t="shared" si="16"/>
        <v>0.7041727697881867</v>
      </c>
      <c r="J91" s="126">
        <f t="shared" si="17"/>
        <v>-0.6631856779307892</v>
      </c>
      <c r="K91" s="128">
        <f t="shared" si="18"/>
        <v>0.48056933183390527</v>
      </c>
    </row>
    <row r="92" spans="1:11" ht="13.5">
      <c r="A92" s="125">
        <v>70</v>
      </c>
      <c r="B92" s="126">
        <f t="shared" si="9"/>
        <v>0.5045918913999063</v>
      </c>
      <c r="C92" s="126">
        <f t="shared" si="10"/>
        <v>0.36042277957136165</v>
      </c>
      <c r="D92" s="126">
        <f t="shared" si="11"/>
        <v>-0.6952877242199555</v>
      </c>
      <c r="E92" s="126">
        <f t="shared" si="12"/>
        <v>0.4966340887285397</v>
      </c>
      <c r="F92" s="126">
        <f t="shared" si="13"/>
        <v>-0.37454894580922016</v>
      </c>
      <c r="G92" s="126">
        <f t="shared" si="14"/>
        <v>0.2675349612923001</v>
      </c>
      <c r="H92" s="126">
        <f t="shared" si="15"/>
        <v>-1.0337636973579656</v>
      </c>
      <c r="I92" s="126">
        <f t="shared" si="16"/>
        <v>0.7384026409699754</v>
      </c>
      <c r="J92" s="126">
        <f t="shared" si="17"/>
        <v>-0.7033315250266856</v>
      </c>
      <c r="K92" s="128">
        <f t="shared" si="18"/>
        <v>0.5023796607333468</v>
      </c>
    </row>
    <row r="93" spans="1:11" ht="13.5">
      <c r="A93" s="125">
        <v>75</v>
      </c>
      <c r="B93" s="126">
        <f t="shared" si="9"/>
        <v>0.8395884069041504</v>
      </c>
      <c r="C93" s="126">
        <f t="shared" si="10"/>
        <v>0.5597256046027669</v>
      </c>
      <c r="D93" s="126">
        <f t="shared" si="11"/>
        <v>-0.8965057657115167</v>
      </c>
      <c r="E93" s="126">
        <f t="shared" si="12"/>
        <v>0.5976705104743445</v>
      </c>
      <c r="F93" s="126">
        <f t="shared" si="13"/>
        <v>-0.7223825479649939</v>
      </c>
      <c r="G93" s="126">
        <f t="shared" si="14"/>
        <v>0.48158836530999594</v>
      </c>
      <c r="H93" s="126">
        <f t="shared" si="15"/>
        <v>-1.2645451406417934</v>
      </c>
      <c r="I93" s="126">
        <f t="shared" si="16"/>
        <v>0.8430300937611955</v>
      </c>
      <c r="J93" s="126">
        <f t="shared" si="17"/>
        <v>-0.850807861139872</v>
      </c>
      <c r="K93" s="128">
        <f t="shared" si="18"/>
        <v>0.5672052407599146</v>
      </c>
    </row>
    <row r="94" spans="1:11" ht="13.5">
      <c r="A94" s="125">
        <v>80</v>
      </c>
      <c r="B94" s="126">
        <f t="shared" si="9"/>
        <v>1.209696129587261</v>
      </c>
      <c r="C94" s="126">
        <f t="shared" si="10"/>
        <v>0.7560600809920381</v>
      </c>
      <c r="D94" s="126">
        <f t="shared" si="11"/>
        <v>-0.9917146260567193</v>
      </c>
      <c r="E94" s="126">
        <f t="shared" si="12"/>
        <v>0.6198216412854496</v>
      </c>
      <c r="F94" s="126">
        <f t="shared" si="13"/>
        <v>-0.9428194234423799</v>
      </c>
      <c r="G94" s="126">
        <f t="shared" si="14"/>
        <v>0.5892621396514874</v>
      </c>
      <c r="H94" s="126">
        <f t="shared" si="15"/>
        <v>-1.3817275778418505</v>
      </c>
      <c r="I94" s="126">
        <f t="shared" si="16"/>
        <v>0.8635797361511566</v>
      </c>
      <c r="J94" s="126">
        <f t="shared" si="17"/>
        <v>-0.9218252962803373</v>
      </c>
      <c r="K94" s="128">
        <f t="shared" si="18"/>
        <v>0.5761408101752108</v>
      </c>
    </row>
    <row r="95" spans="1:11" ht="13.5">
      <c r="A95" s="125">
        <v>85</v>
      </c>
      <c r="B95" s="126">
        <f t="shared" si="9"/>
        <v>1.6089606307829172</v>
      </c>
      <c r="C95" s="126">
        <f t="shared" si="10"/>
        <v>0.9464474298723042</v>
      </c>
      <c r="D95" s="126">
        <f t="shared" si="11"/>
        <v>-0.9997804499493661</v>
      </c>
      <c r="E95" s="126">
        <f t="shared" si="12"/>
        <v>0.5881061470290389</v>
      </c>
      <c r="F95" s="126">
        <f t="shared" si="13"/>
        <v>-1.0587993084184006</v>
      </c>
      <c r="G95" s="126">
        <f t="shared" si="14"/>
        <v>0.6228231225990593</v>
      </c>
      <c r="H95" s="126">
        <f t="shared" si="15"/>
        <v>-1.405576602425601</v>
      </c>
      <c r="I95" s="126">
        <f t="shared" si="16"/>
        <v>0.8268097661327063</v>
      </c>
      <c r="J95" s="126">
        <f t="shared" si="17"/>
        <v>-0.9299378551111648</v>
      </c>
      <c r="K95" s="128">
        <f t="shared" si="18"/>
        <v>0.5470222677124499</v>
      </c>
    </row>
    <row r="96" spans="1:11" ht="13.5">
      <c r="A96" s="125">
        <v>90</v>
      </c>
      <c r="B96" s="126">
        <f t="shared" si="9"/>
        <v>2.032772400613844</v>
      </c>
      <c r="C96" s="126">
        <f t="shared" si="10"/>
        <v>1.1293180003410244</v>
      </c>
      <c r="D96" s="126">
        <f t="shared" si="11"/>
        <v>-0.9352419532697667</v>
      </c>
      <c r="E96" s="126">
        <f t="shared" si="12"/>
        <v>0.5195788629276481</v>
      </c>
      <c r="F96" s="126">
        <f t="shared" si="13"/>
        <v>-1.0879419153230607</v>
      </c>
      <c r="G96" s="126">
        <f t="shared" si="14"/>
        <v>0.6044121751794782</v>
      </c>
      <c r="H96" s="126">
        <f t="shared" si="15"/>
        <v>-1.351689874973033</v>
      </c>
      <c r="I96" s="126">
        <f t="shared" si="16"/>
        <v>0.7509388194294628</v>
      </c>
      <c r="J96" s="126">
        <f t="shared" si="17"/>
        <v>-0.8856369370931372</v>
      </c>
      <c r="K96" s="128">
        <f t="shared" si="18"/>
        <v>0.49202052060729845</v>
      </c>
    </row>
    <row r="97" spans="1:11" ht="13.5">
      <c r="A97" s="125">
        <v>95</v>
      </c>
      <c r="B97" s="126">
        <f t="shared" si="9"/>
        <v>2.477512185929923</v>
      </c>
      <c r="C97" s="126">
        <f t="shared" si="10"/>
        <v>1.3039537820683806</v>
      </c>
      <c r="D97" s="126">
        <f t="shared" si="11"/>
        <v>-0.809483313180035</v>
      </c>
      <c r="E97" s="126">
        <f t="shared" si="12"/>
        <v>0.42604384904212367</v>
      </c>
      <c r="F97" s="126">
        <f t="shared" si="13"/>
        <v>-1.0440074834296134</v>
      </c>
      <c r="G97" s="126">
        <f t="shared" si="14"/>
        <v>0.5494776228576912</v>
      </c>
      <c r="H97" s="126">
        <f t="shared" si="15"/>
        <v>-1.2322676328927429</v>
      </c>
      <c r="I97" s="126">
        <f t="shared" si="16"/>
        <v>0.6485619120488121</v>
      </c>
      <c r="J97" s="126">
        <f t="shared" si="17"/>
        <v>-0.7971700652915938</v>
      </c>
      <c r="K97" s="128">
        <f t="shared" si="18"/>
        <v>0.4195631922587336</v>
      </c>
    </row>
    <row r="98" spans="1:11" ht="13.5">
      <c r="A98" s="125">
        <v>100</v>
      </c>
      <c r="B98" s="126">
        <f t="shared" si="9"/>
        <v>2.9403031309035157</v>
      </c>
      <c r="C98" s="126">
        <f t="shared" si="10"/>
        <v>1.4701515654517578</v>
      </c>
      <c r="D98" s="126">
        <f t="shared" si="11"/>
        <v>-0.6315435975869299</v>
      </c>
      <c r="E98" s="126">
        <f t="shared" si="12"/>
        <v>0.31577179879346495</v>
      </c>
      <c r="F98" s="126">
        <f t="shared" si="13"/>
        <v>-0.9378984339219762</v>
      </c>
      <c r="G98" s="126">
        <f t="shared" si="14"/>
        <v>0.4689492169609881</v>
      </c>
      <c r="H98" s="126">
        <f t="shared" si="15"/>
        <v>-1.056987660587584</v>
      </c>
      <c r="I98" s="126">
        <f t="shared" si="16"/>
        <v>0.528493830293792</v>
      </c>
      <c r="J98" s="126">
        <f t="shared" si="17"/>
        <v>-0.6711097602228797</v>
      </c>
      <c r="K98" s="128">
        <f t="shared" si="18"/>
        <v>0.33555488011143986</v>
      </c>
    </row>
    <row r="99" spans="1:11" ht="13.5">
      <c r="A99" s="125">
        <v>105</v>
      </c>
      <c r="B99" s="126">
        <f t="shared" si="9"/>
        <v>3.4188339891909543</v>
      </c>
      <c r="C99" s="126">
        <f t="shared" si="10"/>
        <v>1.6280161853290258</v>
      </c>
      <c r="D99" s="126">
        <f t="shared" si="11"/>
        <v>-0.40868810900734687</v>
      </c>
      <c r="E99" s="126">
        <f t="shared" si="12"/>
        <v>0.19461338524159374</v>
      </c>
      <c r="F99" s="126">
        <f t="shared" si="13"/>
        <v>-0.7783627575834515</v>
      </c>
      <c r="G99" s="126">
        <f t="shared" si="14"/>
        <v>0.370648932182596</v>
      </c>
      <c r="H99" s="126">
        <f t="shared" si="15"/>
        <v>-0.8336218282909762</v>
      </c>
      <c r="I99" s="126">
        <f t="shared" si="16"/>
        <v>0.3969627753766553</v>
      </c>
      <c r="J99" s="126">
        <f t="shared" si="17"/>
        <v>-0.5127573578712603</v>
      </c>
      <c r="K99" s="128">
        <f t="shared" si="18"/>
        <v>0.24417017041488587</v>
      </c>
    </row>
    <row r="100" spans="1:11" ht="13.5">
      <c r="A100" s="125">
        <v>110</v>
      </c>
      <c r="B100" s="126">
        <f t="shared" si="9"/>
        <v>3.9112307203166807</v>
      </c>
      <c r="C100" s="126">
        <f t="shared" si="10"/>
        <v>1.7778321455984913</v>
      </c>
      <c r="D100" s="126">
        <f t="shared" si="11"/>
        <v>-0.14681976163880606</v>
      </c>
      <c r="E100" s="126">
        <f t="shared" si="12"/>
        <v>0.06673625529036639</v>
      </c>
      <c r="F100" s="126">
        <f t="shared" si="13"/>
        <v>-0.5724982881573943</v>
      </c>
      <c r="G100" s="126">
        <f t="shared" si="14"/>
        <v>0.26022649461699743</v>
      </c>
      <c r="H100" s="126">
        <f t="shared" si="15"/>
        <v>-0.5684793646270165</v>
      </c>
      <c r="I100" s="126">
        <f t="shared" si="16"/>
        <v>0.25839971119409844</v>
      </c>
      <c r="J100" s="126">
        <f t="shared" si="17"/>
        <v>-0.32643515484537744</v>
      </c>
      <c r="K100" s="128">
        <f t="shared" si="18"/>
        <v>0.14837961583880793</v>
      </c>
    </row>
    <row r="101" spans="1:11" ht="13.5">
      <c r="A101" s="125">
        <v>115</v>
      </c>
      <c r="B101" s="126">
        <f t="shared" si="9"/>
        <v>4.415961702049785</v>
      </c>
      <c r="C101" s="126">
        <f t="shared" si="10"/>
        <v>1.9199833487172977</v>
      </c>
      <c r="D101" s="126">
        <f t="shared" si="11"/>
        <v>0.14921945395783354</v>
      </c>
      <c r="E101" s="126">
        <f t="shared" si="12"/>
        <v>0.06487802345992763</v>
      </c>
      <c r="F101" s="126">
        <f t="shared" si="13"/>
        <v>-0.3261209021379301</v>
      </c>
      <c r="G101" s="126">
        <f t="shared" si="14"/>
        <v>0.14179169658170873</v>
      </c>
      <c r="H101" s="126">
        <f t="shared" si="15"/>
        <v>-0.26673129158016806</v>
      </c>
      <c r="I101" s="126">
        <f t="shared" si="16"/>
        <v>0.11597012677398612</v>
      </c>
      <c r="J101" s="126">
        <f t="shared" si="17"/>
        <v>-0.11570137392796553</v>
      </c>
      <c r="K101" s="128">
        <f t="shared" si="18"/>
        <v>0.050304945186071974</v>
      </c>
    </row>
    <row r="102" spans="1:11" ht="13.5">
      <c r="A102" s="125">
        <v>120</v>
      </c>
      <c r="B102" s="126">
        <f t="shared" si="9"/>
        <v>4.931766729155882</v>
      </c>
      <c r="C102" s="126">
        <f t="shared" si="10"/>
        <v>2.054902803814951</v>
      </c>
      <c r="D102" s="126">
        <f t="shared" si="11"/>
        <v>0.4754240448263225</v>
      </c>
      <c r="E102" s="126">
        <f t="shared" si="12"/>
        <v>0.1980933520109677</v>
      </c>
      <c r="F102" s="126">
        <f t="shared" si="13"/>
        <v>-0.04403777844363077</v>
      </c>
      <c r="G102" s="126">
        <f t="shared" si="14"/>
        <v>0.018349074351512822</v>
      </c>
      <c r="H102" s="126">
        <f t="shared" si="15"/>
        <v>0.06734830909301337</v>
      </c>
      <c r="I102" s="126">
        <f t="shared" si="16"/>
        <v>0.02806179545542224</v>
      </c>
      <c r="J102" s="126">
        <f t="shared" si="17"/>
        <v>0.11648923504811393</v>
      </c>
      <c r="K102" s="128">
        <f t="shared" si="18"/>
        <v>0.04853718127004747</v>
      </c>
    </row>
    <row r="103" spans="1:11" ht="13.5">
      <c r="A103" s="125">
        <v>125</v>
      </c>
      <c r="B103" s="126">
        <f t="shared" si="9"/>
        <v>5.457603123722098</v>
      </c>
      <c r="C103" s="126">
        <f t="shared" si="10"/>
        <v>2.183041249488839</v>
      </c>
      <c r="D103" s="126">
        <f t="shared" si="11"/>
        <v>0.8284555584351629</v>
      </c>
      <c r="E103" s="126">
        <f t="shared" si="12"/>
        <v>0.3313822233740652</v>
      </c>
      <c r="F103" s="126">
        <f t="shared" si="13"/>
        <v>0.26974681959300284</v>
      </c>
      <c r="G103" s="126">
        <f t="shared" si="14"/>
        <v>0.10789872783720114</v>
      </c>
      <c r="H103" s="126">
        <f t="shared" si="15"/>
        <v>0.43020029580977237</v>
      </c>
      <c r="I103" s="126">
        <f t="shared" si="16"/>
        <v>0.17208011832390896</v>
      </c>
      <c r="J103" s="126">
        <f t="shared" si="17"/>
        <v>0.3676637492768293</v>
      </c>
      <c r="K103" s="128">
        <f t="shared" si="18"/>
        <v>0.14706549971073174</v>
      </c>
    </row>
    <row r="104" spans="1:11" ht="13.5">
      <c r="A104" s="125">
        <v>130</v>
      </c>
      <c r="B104" s="126">
        <f t="shared" si="9"/>
        <v>5.992604341711228</v>
      </c>
      <c r="C104" s="126">
        <f t="shared" si="10"/>
        <v>2.304847823735088</v>
      </c>
      <c r="D104" s="126">
        <f t="shared" si="11"/>
        <v>1.2055129830202738</v>
      </c>
      <c r="E104" s="126">
        <f t="shared" si="12"/>
        <v>0.4636588396231822</v>
      </c>
      <c r="F104" s="126">
        <f t="shared" si="13"/>
        <v>0.6118745252537288</v>
      </c>
      <c r="G104" s="126">
        <f t="shared" si="14"/>
        <v>0.23533635586681875</v>
      </c>
      <c r="H104" s="126">
        <f t="shared" si="15"/>
        <v>0.8188413934562213</v>
      </c>
      <c r="I104" s="126">
        <f t="shared" si="16"/>
        <v>0.31493899748316206</v>
      </c>
      <c r="J104" s="126">
        <f t="shared" si="17"/>
        <v>0.6357377757907834</v>
      </c>
      <c r="K104" s="128">
        <f t="shared" si="18"/>
        <v>0.2445145291503013</v>
      </c>
    </row>
    <row r="105" spans="1:11" ht="13.5">
      <c r="A105" s="125">
        <v>135</v>
      </c>
      <c r="B105" s="126">
        <f t="shared" si="9"/>
        <v>6.53604783147572</v>
      </c>
      <c r="C105" s="126">
        <f t="shared" si="10"/>
        <v>2.4207584561021185</v>
      </c>
      <c r="D105" s="126">
        <f t="shared" si="11"/>
        <v>1.604232473124533</v>
      </c>
      <c r="E105" s="126">
        <f t="shared" si="12"/>
        <v>0.5941601752313085</v>
      </c>
      <c r="F105" s="126">
        <f t="shared" si="13"/>
        <v>0.9795116220679532</v>
      </c>
      <c r="G105" s="126">
        <f t="shared" si="14"/>
        <v>0.36278208224739006</v>
      </c>
      <c r="H105" s="126">
        <f t="shared" si="15"/>
        <v>1.2307566730261925</v>
      </c>
      <c r="I105" s="126">
        <f t="shared" si="16"/>
        <v>0.45583580482451574</v>
      </c>
      <c r="J105" s="126">
        <f t="shared" si="17"/>
        <v>0.9189430771508782</v>
      </c>
      <c r="K105" s="128">
        <f t="shared" si="18"/>
        <v>0.3403492878336586</v>
      </c>
    </row>
    <row r="106" spans="1:11" ht="13.5">
      <c r="A106" s="125">
        <v>140</v>
      </c>
      <c r="B106" s="126">
        <f t="shared" si="9"/>
        <v>7.087329829219918</v>
      </c>
      <c r="C106" s="126">
        <f t="shared" si="10"/>
        <v>2.5311892247213996</v>
      </c>
      <c r="D106" s="126">
        <f t="shared" si="11"/>
        <v>2.022608940221918</v>
      </c>
      <c r="E106" s="126">
        <f t="shared" si="12"/>
        <v>0.7223603357935421</v>
      </c>
      <c r="F106" s="126">
        <f t="shared" si="13"/>
        <v>1.3702544016367355</v>
      </c>
      <c r="G106" s="126">
        <f t="shared" si="14"/>
        <v>0.48937657201311985</v>
      </c>
      <c r="H106" s="126">
        <f t="shared" si="15"/>
        <v>1.6638155387550455</v>
      </c>
      <c r="I106" s="126">
        <f t="shared" si="16"/>
        <v>0.5942198352696592</v>
      </c>
      <c r="J106" s="126">
        <f t="shared" si="17"/>
        <v>1.2157708393470763</v>
      </c>
      <c r="K106" s="128">
        <f t="shared" si="18"/>
        <v>0.4342038711953844</v>
      </c>
    </row>
    <row r="107" spans="1:11" ht="13.5">
      <c r="A107" s="125">
        <v>145</v>
      </c>
      <c r="B107" s="126">
        <f t="shared" si="9"/>
        <v>7.6459454166039755</v>
      </c>
      <c r="C107" s="126">
        <f t="shared" si="10"/>
        <v>2.636532902277233</v>
      </c>
      <c r="D107" s="126">
        <f t="shared" si="11"/>
        <v>2.4589341462010417</v>
      </c>
      <c r="E107" s="126">
        <f t="shared" si="12"/>
        <v>0.8479083262762214</v>
      </c>
      <c r="F107" s="126">
        <f t="shared" si="13"/>
        <v>1.7820545560906744</v>
      </c>
      <c r="G107" s="126">
        <f t="shared" si="14"/>
        <v>0.6145015710657498</v>
      </c>
      <c r="H107" s="126">
        <f t="shared" si="15"/>
        <v>2.116205445685523</v>
      </c>
      <c r="I107" s="126">
        <f t="shared" si="16"/>
        <v>0.7297260157536286</v>
      </c>
      <c r="J107" s="126">
        <f t="shared" si="17"/>
        <v>1.5249267729184837</v>
      </c>
      <c r="K107" s="128">
        <f t="shared" si="18"/>
        <v>0.525836818247753</v>
      </c>
    </row>
    <row r="150" ht="13.5">
      <c r="A150" s="101" t="s">
        <v>142</v>
      </c>
    </row>
    <row r="151" ht="13.5">
      <c r="A151" s="101" t="s">
        <v>143</v>
      </c>
    </row>
    <row r="152" ht="13.5">
      <c r="A152" s="101" t="s">
        <v>144</v>
      </c>
    </row>
  </sheetData>
  <sheetProtection/>
  <mergeCells count="2">
    <mergeCell ref="B65:C65"/>
    <mergeCell ref="H65:I65"/>
  </mergeCells>
  <printOptions/>
  <pageMargins left="0.75" right="0.75" top="1" bottom="1" header="0.512" footer="0.512"/>
  <pageSetup horizontalDpi="180" verticalDpi="180" orientation="portrait" paperSize="9"/>
  <drawing r:id="rId1"/>
</worksheet>
</file>

<file path=xl/worksheets/sheet4.xml><?xml version="1.0" encoding="utf-8"?>
<worksheet xmlns="http://schemas.openxmlformats.org/spreadsheetml/2006/main" xmlns:r="http://schemas.openxmlformats.org/officeDocument/2006/relationships">
  <dimension ref="A1:J288"/>
  <sheetViews>
    <sheetView tabSelected="1" workbookViewId="0" topLeftCell="A265">
      <selection activeCell="H82" sqref="H82"/>
    </sheetView>
  </sheetViews>
  <sheetFormatPr defaultColWidth="10.28125" defaultRowHeight="15"/>
  <cols>
    <col min="1" max="1" width="6.57421875" style="1" customWidth="1"/>
    <col min="2" max="2" width="17.8515625" style="1" customWidth="1"/>
    <col min="3" max="3" width="32.8515625" style="1" customWidth="1"/>
    <col min="4" max="6" width="10.28125" style="1" customWidth="1"/>
    <col min="7" max="7" width="14.57421875" style="1" customWidth="1"/>
    <col min="8" max="8" width="12.140625" style="1" customWidth="1"/>
    <col min="9" max="9" width="13.140625" style="1" customWidth="1"/>
    <col min="10" max="10" width="144.140625" style="1" customWidth="1"/>
    <col min="11" max="16384" width="10.28125" style="1" customWidth="1"/>
  </cols>
  <sheetData>
    <row r="1" spans="1:10" s="1" customFormat="1" ht="13.5">
      <c r="A1" s="2"/>
      <c r="B1" s="3" t="s">
        <v>145</v>
      </c>
      <c r="C1" s="4"/>
      <c r="D1" s="4"/>
      <c r="E1" s="4"/>
      <c r="F1" s="4"/>
      <c r="G1" s="4"/>
      <c r="H1" s="4"/>
      <c r="I1" s="4"/>
      <c r="J1" s="2"/>
    </row>
    <row r="2" spans="1:10" ht="13.5">
      <c r="A2" s="2"/>
      <c r="B2" s="5" t="s">
        <v>146</v>
      </c>
      <c r="C2" s="4"/>
      <c r="D2" s="4"/>
      <c r="E2" s="4"/>
      <c r="F2" s="4"/>
      <c r="G2" s="6"/>
      <c r="H2" s="4"/>
      <c r="I2" s="4"/>
      <c r="J2" s="2"/>
    </row>
    <row r="3" spans="1:10" ht="13.5">
      <c r="A3" s="2"/>
      <c r="B3" s="5" t="s">
        <v>147</v>
      </c>
      <c r="C3" s="4"/>
      <c r="D3" s="4"/>
      <c r="E3" s="4"/>
      <c r="F3" s="4"/>
      <c r="G3" s="4"/>
      <c r="H3" s="4"/>
      <c r="I3" s="4"/>
      <c r="J3" s="2"/>
    </row>
    <row r="4" spans="1:10" ht="13.5">
      <c r="A4" s="2"/>
      <c r="B4" s="5" t="s">
        <v>148</v>
      </c>
      <c r="C4" s="4"/>
      <c r="D4" s="4"/>
      <c r="E4" s="4"/>
      <c r="F4" s="4"/>
      <c r="G4" s="4"/>
      <c r="H4" s="4"/>
      <c r="I4" s="4"/>
      <c r="J4" s="2"/>
    </row>
    <row r="5" spans="1:10" s="1" customFormat="1" ht="13.5">
      <c r="A5" s="7"/>
      <c r="B5" s="8" t="s">
        <v>149</v>
      </c>
      <c r="C5" s="8" t="s">
        <v>150</v>
      </c>
      <c r="D5" s="8" t="s">
        <v>151</v>
      </c>
      <c r="E5" s="8" t="s">
        <v>152</v>
      </c>
      <c r="F5" s="8" t="s">
        <v>12</v>
      </c>
      <c r="G5" s="8" t="s">
        <v>153</v>
      </c>
      <c r="H5" s="9" t="s">
        <v>20</v>
      </c>
      <c r="I5" s="9" t="s">
        <v>47</v>
      </c>
      <c r="J5" s="20" t="s">
        <v>154</v>
      </c>
    </row>
    <row r="6" spans="1:10" ht="13.5">
      <c r="A6" s="10">
        <v>1</v>
      </c>
      <c r="B6" s="10" t="s">
        <v>155</v>
      </c>
      <c r="C6" s="10" t="s">
        <v>156</v>
      </c>
      <c r="D6" s="10">
        <v>237</v>
      </c>
      <c r="E6" s="10">
        <v>222</v>
      </c>
      <c r="F6" s="10">
        <v>15</v>
      </c>
      <c r="G6" s="10">
        <v>22</v>
      </c>
      <c r="H6" s="11" t="s">
        <v>157</v>
      </c>
      <c r="I6" s="21">
        <f>D6*SIN(G6*PI()/180)</f>
        <v>88.78176263957114</v>
      </c>
      <c r="J6" s="22" t="s">
        <v>158</v>
      </c>
    </row>
    <row r="7" spans="1:10" ht="13.5">
      <c r="A7" s="10">
        <v>2</v>
      </c>
      <c r="B7" s="10" t="s">
        <v>155</v>
      </c>
      <c r="C7" s="10" t="s">
        <v>159</v>
      </c>
      <c r="D7" s="10">
        <v>283</v>
      </c>
      <c r="E7" s="10">
        <v>270</v>
      </c>
      <c r="F7" s="10">
        <v>13</v>
      </c>
      <c r="G7" s="10">
        <v>17.5</v>
      </c>
      <c r="H7" s="11" t="s">
        <v>160</v>
      </c>
      <c r="I7" s="21">
        <f aca="true" t="shared" si="0" ref="I7:I70">D7*SIN(G7*PI()/180)</f>
        <v>85.09974125970929</v>
      </c>
      <c r="J7" s="23"/>
    </row>
    <row r="8" spans="1:10" ht="13.5">
      <c r="A8" s="10">
        <v>3</v>
      </c>
      <c r="B8" s="10" t="s">
        <v>161</v>
      </c>
      <c r="C8" s="10" t="s">
        <v>162</v>
      </c>
      <c r="D8" s="10">
        <v>237</v>
      </c>
      <c r="E8" s="10">
        <v>222</v>
      </c>
      <c r="F8" s="10">
        <v>15</v>
      </c>
      <c r="G8" s="12">
        <v>21.63</v>
      </c>
      <c r="H8" s="12" t="s">
        <v>163</v>
      </c>
      <c r="I8" s="21">
        <f t="shared" si="0"/>
        <v>87.36088569118289</v>
      </c>
      <c r="J8" s="24" t="s">
        <v>164</v>
      </c>
    </row>
    <row r="9" spans="1:10" ht="15" customHeight="1">
      <c r="A9" s="10">
        <v>4</v>
      </c>
      <c r="B9" s="10" t="s">
        <v>165</v>
      </c>
      <c r="C9" s="10" t="s">
        <v>166</v>
      </c>
      <c r="D9" s="10">
        <v>240</v>
      </c>
      <c r="E9" s="10">
        <v>225</v>
      </c>
      <c r="F9" s="10">
        <v>15</v>
      </c>
      <c r="G9" s="10">
        <v>21.5</v>
      </c>
      <c r="H9" s="11" t="s">
        <v>167</v>
      </c>
      <c r="I9" s="21">
        <f t="shared" si="0"/>
        <v>87.96029441383133</v>
      </c>
      <c r="J9" s="25" t="s">
        <v>168</v>
      </c>
    </row>
    <row r="10" spans="1:10" ht="13.5">
      <c r="A10" s="10">
        <v>5</v>
      </c>
      <c r="B10" s="10" t="s">
        <v>165</v>
      </c>
      <c r="C10" s="10" t="s">
        <v>169</v>
      </c>
      <c r="D10" s="10">
        <v>282</v>
      </c>
      <c r="E10" s="10">
        <v>270</v>
      </c>
      <c r="F10" s="10">
        <v>12</v>
      </c>
      <c r="G10" s="12">
        <v>18</v>
      </c>
      <c r="H10" s="11" t="s">
        <v>170</v>
      </c>
      <c r="I10" s="21">
        <f t="shared" si="0"/>
        <v>87.14279241373517</v>
      </c>
      <c r="J10" s="26" t="s">
        <v>171</v>
      </c>
    </row>
    <row r="11" spans="1:10" ht="13.5">
      <c r="A11" s="10">
        <v>6</v>
      </c>
      <c r="B11" s="10" t="s">
        <v>165</v>
      </c>
      <c r="C11" s="10" t="s">
        <v>172</v>
      </c>
      <c r="D11" s="10">
        <v>254</v>
      </c>
      <c r="E11" s="10">
        <v>239</v>
      </c>
      <c r="F11" s="10">
        <v>15</v>
      </c>
      <c r="G11" s="12">
        <v>21</v>
      </c>
      <c r="H11" s="11" t="s">
        <v>173</v>
      </c>
      <c r="I11" s="21">
        <f t="shared" si="0"/>
        <v>91.02545918450627</v>
      </c>
      <c r="J11" s="26" t="s">
        <v>174</v>
      </c>
    </row>
    <row r="12" spans="1:10" ht="13.5">
      <c r="A12" s="10">
        <v>7</v>
      </c>
      <c r="B12" s="10" t="s">
        <v>165</v>
      </c>
      <c r="C12" s="10" t="s">
        <v>175</v>
      </c>
      <c r="D12" s="10">
        <v>285</v>
      </c>
      <c r="E12" s="10">
        <v>273</v>
      </c>
      <c r="F12" s="10">
        <v>12</v>
      </c>
      <c r="G12" s="10">
        <v>18</v>
      </c>
      <c r="H12" s="13" t="s">
        <v>176</v>
      </c>
      <c r="I12" s="21">
        <f t="shared" si="0"/>
        <v>88.06984339686001</v>
      </c>
      <c r="J12" s="27" t="s">
        <v>177</v>
      </c>
    </row>
    <row r="13" spans="1:10" ht="13.5">
      <c r="A13" s="10">
        <v>8</v>
      </c>
      <c r="B13" s="10" t="s">
        <v>165</v>
      </c>
      <c r="C13" s="10" t="s">
        <v>178</v>
      </c>
      <c r="D13" s="10">
        <v>257</v>
      </c>
      <c r="E13" s="10">
        <v>242</v>
      </c>
      <c r="F13" s="10">
        <v>15</v>
      </c>
      <c r="G13" s="12">
        <v>21</v>
      </c>
      <c r="H13" s="11" t="s">
        <v>179</v>
      </c>
      <c r="I13" s="21">
        <f t="shared" si="0"/>
        <v>92.10056303314217</v>
      </c>
      <c r="J13" s="26" t="s">
        <v>180</v>
      </c>
    </row>
    <row r="14" spans="1:10" ht="13.5">
      <c r="A14" s="10">
        <v>9</v>
      </c>
      <c r="B14" s="10" t="s">
        <v>165</v>
      </c>
      <c r="C14" s="10" t="s">
        <v>181</v>
      </c>
      <c r="D14" s="10">
        <v>240</v>
      </c>
      <c r="E14" s="10">
        <v>225</v>
      </c>
      <c r="F14" s="10">
        <v>15</v>
      </c>
      <c r="G14" s="10">
        <v>21.5</v>
      </c>
      <c r="H14" s="11" t="s">
        <v>167</v>
      </c>
      <c r="I14" s="21">
        <f t="shared" si="0"/>
        <v>87.96029441383133</v>
      </c>
      <c r="J14" s="27" t="s">
        <v>182</v>
      </c>
    </row>
    <row r="15" spans="1:10" ht="13.5">
      <c r="A15" s="10">
        <v>10</v>
      </c>
      <c r="B15" s="10" t="s">
        <v>183</v>
      </c>
      <c r="C15" s="10" t="s">
        <v>184</v>
      </c>
      <c r="D15" s="10">
        <v>220</v>
      </c>
      <c r="E15" s="10">
        <v>205</v>
      </c>
      <c r="F15" s="10">
        <v>15</v>
      </c>
      <c r="G15" s="10">
        <v>22</v>
      </c>
      <c r="H15" s="11" t="s">
        <v>185</v>
      </c>
      <c r="I15" s="21">
        <f t="shared" si="0"/>
        <v>82.41345055150065</v>
      </c>
      <c r="J15" s="28" t="s">
        <v>186</v>
      </c>
    </row>
    <row r="16" spans="1:10" ht="13.5">
      <c r="A16" s="10">
        <v>11</v>
      </c>
      <c r="B16" s="10" t="s">
        <v>183</v>
      </c>
      <c r="C16" s="10" t="s">
        <v>187</v>
      </c>
      <c r="D16" s="10">
        <v>237</v>
      </c>
      <c r="E16" s="10">
        <v>222</v>
      </c>
      <c r="F16" s="10">
        <v>15</v>
      </c>
      <c r="G16" s="12">
        <v>21.5</v>
      </c>
      <c r="H16" s="11" t="s">
        <v>188</v>
      </c>
      <c r="I16" s="21">
        <f t="shared" si="0"/>
        <v>86.86079073365845</v>
      </c>
      <c r="J16" s="29" t="s">
        <v>189</v>
      </c>
    </row>
    <row r="17" spans="1:10" ht="13.5">
      <c r="A17" s="10">
        <v>12</v>
      </c>
      <c r="B17" s="10" t="s">
        <v>183</v>
      </c>
      <c r="C17" s="10" t="s">
        <v>190</v>
      </c>
      <c r="D17" s="10">
        <v>244</v>
      </c>
      <c r="E17" s="10">
        <v>229</v>
      </c>
      <c r="F17" s="10">
        <v>15</v>
      </c>
      <c r="G17" s="12">
        <v>21</v>
      </c>
      <c r="H17" s="11" t="s">
        <v>191</v>
      </c>
      <c r="I17" s="21">
        <f t="shared" si="0"/>
        <v>87.44177968905326</v>
      </c>
      <c r="J17" s="30" t="s">
        <v>192</v>
      </c>
    </row>
    <row r="18" spans="1:10" ht="13.5">
      <c r="A18" s="10">
        <v>13</v>
      </c>
      <c r="B18" s="10" t="s">
        <v>183</v>
      </c>
      <c r="C18" s="10" t="s">
        <v>193</v>
      </c>
      <c r="D18" s="10">
        <v>237</v>
      </c>
      <c r="E18" s="10">
        <v>222</v>
      </c>
      <c r="F18" s="10">
        <v>15</v>
      </c>
      <c r="G18" s="12">
        <v>21.5</v>
      </c>
      <c r="H18" s="11" t="s">
        <v>188</v>
      </c>
      <c r="I18" s="21">
        <f t="shared" si="0"/>
        <v>86.86079073365845</v>
      </c>
      <c r="J18" s="31" t="s">
        <v>194</v>
      </c>
    </row>
    <row r="19" spans="1:10" ht="13.5">
      <c r="A19" s="10">
        <v>14</v>
      </c>
      <c r="B19" s="10" t="s">
        <v>195</v>
      </c>
      <c r="C19" s="10" t="s">
        <v>196</v>
      </c>
      <c r="D19" s="10">
        <v>244</v>
      </c>
      <c r="E19" s="10">
        <v>230</v>
      </c>
      <c r="F19" s="10">
        <v>14</v>
      </c>
      <c r="G19" s="10">
        <v>20.5</v>
      </c>
      <c r="H19" s="11" t="s">
        <v>197</v>
      </c>
      <c r="I19" s="21">
        <f t="shared" si="0"/>
        <v>85.45060102731004</v>
      </c>
      <c r="J19" s="27" t="s">
        <v>198</v>
      </c>
    </row>
    <row r="20" spans="1:10" ht="13.5">
      <c r="A20" s="10">
        <v>15</v>
      </c>
      <c r="B20" s="10" t="s">
        <v>195</v>
      </c>
      <c r="C20" s="10" t="s">
        <v>199</v>
      </c>
      <c r="D20" s="10">
        <v>282</v>
      </c>
      <c r="E20" s="10">
        <v>269.5</v>
      </c>
      <c r="F20" s="10">
        <v>12.5</v>
      </c>
      <c r="G20" s="10">
        <v>18</v>
      </c>
      <c r="H20" s="11" t="s">
        <v>200</v>
      </c>
      <c r="I20" s="21">
        <f t="shared" si="0"/>
        <v>87.14279241373517</v>
      </c>
      <c r="J20" s="27" t="s">
        <v>201</v>
      </c>
    </row>
    <row r="21" spans="1:10" s="1" customFormat="1" ht="13.5">
      <c r="A21" s="10">
        <v>16</v>
      </c>
      <c r="B21" s="10" t="s">
        <v>202</v>
      </c>
      <c r="C21" s="10" t="s">
        <v>203</v>
      </c>
      <c r="D21" s="8">
        <v>241</v>
      </c>
      <c r="E21" s="10">
        <v>226</v>
      </c>
      <c r="F21" s="8">
        <v>15</v>
      </c>
      <c r="G21" s="8">
        <v>21.5</v>
      </c>
      <c r="H21" s="9" t="s">
        <v>204</v>
      </c>
      <c r="I21" s="21">
        <f t="shared" si="0"/>
        <v>88.32679564055563</v>
      </c>
      <c r="J21" s="32" t="s">
        <v>205</v>
      </c>
    </row>
    <row r="22" spans="1:10" ht="15" customHeight="1">
      <c r="A22" s="10">
        <v>17</v>
      </c>
      <c r="B22" s="10" t="s">
        <v>206</v>
      </c>
      <c r="C22" s="14" t="s">
        <v>207</v>
      </c>
      <c r="D22" s="10">
        <v>237</v>
      </c>
      <c r="E22" s="10">
        <v>222</v>
      </c>
      <c r="F22" s="10">
        <v>15</v>
      </c>
      <c r="G22" s="10">
        <v>22</v>
      </c>
      <c r="H22" s="15" t="s">
        <v>157</v>
      </c>
      <c r="I22" s="21">
        <f t="shared" si="0"/>
        <v>88.78176263957114</v>
      </c>
      <c r="J22" s="33" t="s">
        <v>208</v>
      </c>
    </row>
    <row r="23" spans="1:10" ht="13.5">
      <c r="A23" s="10">
        <v>18</v>
      </c>
      <c r="B23" s="10" t="s">
        <v>206</v>
      </c>
      <c r="C23" s="16" t="s">
        <v>209</v>
      </c>
      <c r="D23" s="10">
        <v>225</v>
      </c>
      <c r="E23" s="10">
        <v>212</v>
      </c>
      <c r="F23" s="10">
        <v>13</v>
      </c>
      <c r="G23" s="10">
        <v>20</v>
      </c>
      <c r="H23" s="11" t="s">
        <v>210</v>
      </c>
      <c r="I23" s="21">
        <f t="shared" si="0"/>
        <v>76.95453224827546</v>
      </c>
      <c r="J23" s="34"/>
    </row>
    <row r="24" spans="1:10" ht="13.5">
      <c r="A24" s="10">
        <v>19</v>
      </c>
      <c r="B24" s="10" t="s">
        <v>206</v>
      </c>
      <c r="C24" s="10" t="s">
        <v>211</v>
      </c>
      <c r="D24" s="10">
        <v>240</v>
      </c>
      <c r="E24" s="10">
        <v>222.75</v>
      </c>
      <c r="F24" s="10">
        <v>17.25</v>
      </c>
      <c r="G24" s="12">
        <v>22.9</v>
      </c>
      <c r="H24" s="11" t="s">
        <v>212</v>
      </c>
      <c r="I24" s="21">
        <f t="shared" si="0"/>
        <v>93.3897480336495</v>
      </c>
      <c r="J24" s="27" t="s">
        <v>213</v>
      </c>
    </row>
    <row r="25" spans="1:10" ht="13.5">
      <c r="A25" s="10">
        <v>20</v>
      </c>
      <c r="B25" s="10" t="s">
        <v>214</v>
      </c>
      <c r="C25" s="10" t="s">
        <v>215</v>
      </c>
      <c r="D25" s="10">
        <v>230</v>
      </c>
      <c r="E25" s="10">
        <v>215.5</v>
      </c>
      <c r="F25" s="10">
        <v>14.5</v>
      </c>
      <c r="G25" s="10">
        <v>21.4</v>
      </c>
      <c r="H25" s="11" t="s">
        <v>216</v>
      </c>
      <c r="I25" s="21">
        <f t="shared" si="0"/>
        <v>83.92166039765252</v>
      </c>
      <c r="J25" s="27" t="s">
        <v>217</v>
      </c>
    </row>
    <row r="26" spans="1:10" ht="13.5">
      <c r="A26" s="10">
        <v>21</v>
      </c>
      <c r="B26" s="10" t="s">
        <v>214</v>
      </c>
      <c r="C26" s="10" t="s">
        <v>218</v>
      </c>
      <c r="D26" s="10">
        <v>237</v>
      </c>
      <c r="E26" s="10">
        <v>222</v>
      </c>
      <c r="F26" s="10">
        <v>15</v>
      </c>
      <c r="G26" s="10">
        <v>21.5</v>
      </c>
      <c r="H26" s="11" t="s">
        <v>188</v>
      </c>
      <c r="I26" s="21">
        <f t="shared" si="0"/>
        <v>86.86079073365845</v>
      </c>
      <c r="J26" s="27" t="s">
        <v>219</v>
      </c>
    </row>
    <row r="27" spans="1:10" ht="13.5">
      <c r="A27" s="10">
        <v>22</v>
      </c>
      <c r="B27" s="10" t="s">
        <v>214</v>
      </c>
      <c r="C27" s="10" t="s">
        <v>220</v>
      </c>
      <c r="D27" s="10">
        <v>245</v>
      </c>
      <c r="E27" s="10">
        <v>230</v>
      </c>
      <c r="F27" s="10">
        <v>15</v>
      </c>
      <c r="G27" s="10">
        <v>21.5</v>
      </c>
      <c r="H27" s="15" t="s">
        <v>221</v>
      </c>
      <c r="I27" s="21">
        <f t="shared" si="0"/>
        <v>89.79280054745283</v>
      </c>
      <c r="J27" s="27" t="s">
        <v>222</v>
      </c>
    </row>
    <row r="28" spans="1:10" ht="13.5">
      <c r="A28" s="10">
        <v>23</v>
      </c>
      <c r="B28" s="10" t="s">
        <v>214</v>
      </c>
      <c r="C28" s="10" t="s">
        <v>223</v>
      </c>
      <c r="D28" s="10">
        <v>245</v>
      </c>
      <c r="E28" s="10">
        <v>230</v>
      </c>
      <c r="F28" s="10">
        <v>15</v>
      </c>
      <c r="G28" s="10">
        <v>21.5</v>
      </c>
      <c r="H28" s="15" t="s">
        <v>221</v>
      </c>
      <c r="I28" s="21">
        <f t="shared" si="0"/>
        <v>89.79280054745283</v>
      </c>
      <c r="J28" s="7" t="s">
        <v>224</v>
      </c>
    </row>
    <row r="29" spans="1:10" ht="13.5">
      <c r="A29" s="10">
        <v>24</v>
      </c>
      <c r="B29" s="10" t="s">
        <v>214</v>
      </c>
      <c r="C29" s="10" t="s">
        <v>225</v>
      </c>
      <c r="D29" s="10">
        <v>307</v>
      </c>
      <c r="E29" s="10">
        <v>295</v>
      </c>
      <c r="F29" s="10">
        <v>12</v>
      </c>
      <c r="G29" s="12">
        <v>16.82</v>
      </c>
      <c r="H29" s="9" t="s">
        <v>226</v>
      </c>
      <c r="I29" s="21">
        <f t="shared" si="0"/>
        <v>88.83534569012488</v>
      </c>
      <c r="J29" s="7" t="s">
        <v>227</v>
      </c>
    </row>
    <row r="30" spans="1:10" ht="13.5">
      <c r="A30" s="10">
        <v>25</v>
      </c>
      <c r="B30" s="10" t="s">
        <v>214</v>
      </c>
      <c r="C30" s="10" t="s">
        <v>228</v>
      </c>
      <c r="D30" s="10">
        <v>307</v>
      </c>
      <c r="E30" s="10">
        <v>295</v>
      </c>
      <c r="F30" s="10">
        <v>12</v>
      </c>
      <c r="G30" s="12">
        <v>16.66</v>
      </c>
      <c r="H30" s="9" t="s">
        <v>229</v>
      </c>
      <c r="I30" s="21">
        <f t="shared" si="0"/>
        <v>88.01437143398891</v>
      </c>
      <c r="J30" s="7" t="s">
        <v>230</v>
      </c>
    </row>
    <row r="31" spans="1:10" ht="13.5">
      <c r="A31" s="10">
        <v>26</v>
      </c>
      <c r="B31" s="10" t="s">
        <v>231</v>
      </c>
      <c r="C31" s="10" t="s">
        <v>232</v>
      </c>
      <c r="D31" s="12">
        <v>222</v>
      </c>
      <c r="E31" s="10">
        <v>207</v>
      </c>
      <c r="F31" s="10">
        <v>15</v>
      </c>
      <c r="G31" s="12">
        <v>22</v>
      </c>
      <c r="H31" s="11" t="s">
        <v>233</v>
      </c>
      <c r="I31" s="21">
        <f t="shared" si="0"/>
        <v>83.16266373833247</v>
      </c>
      <c r="J31" s="35" t="s">
        <v>234</v>
      </c>
    </row>
    <row r="32" spans="1:10" ht="13.5">
      <c r="A32" s="10">
        <v>27</v>
      </c>
      <c r="B32" s="10" t="s">
        <v>231</v>
      </c>
      <c r="C32" s="10" t="s">
        <v>235</v>
      </c>
      <c r="D32" s="12">
        <v>237</v>
      </c>
      <c r="E32" s="10">
        <v>222</v>
      </c>
      <c r="F32" s="10">
        <v>15</v>
      </c>
      <c r="G32" s="12">
        <v>21</v>
      </c>
      <c r="H32" s="11" t="s">
        <v>236</v>
      </c>
      <c r="I32" s="21">
        <f t="shared" si="0"/>
        <v>84.93320404223617</v>
      </c>
      <c r="J32" s="36"/>
    </row>
    <row r="33" spans="1:10" ht="13.5">
      <c r="A33" s="10">
        <v>28</v>
      </c>
      <c r="B33" s="10" t="s">
        <v>231</v>
      </c>
      <c r="C33" s="10" t="s">
        <v>237</v>
      </c>
      <c r="D33" s="12">
        <v>285</v>
      </c>
      <c r="E33" s="10">
        <v>270</v>
      </c>
      <c r="F33" s="10">
        <v>15</v>
      </c>
      <c r="G33" s="12">
        <v>20</v>
      </c>
      <c r="H33" s="11" t="s">
        <v>238</v>
      </c>
      <c r="I33" s="21">
        <f t="shared" si="0"/>
        <v>97.47574084781559</v>
      </c>
      <c r="J33" s="37" t="s">
        <v>239</v>
      </c>
    </row>
    <row r="34" spans="1:10" ht="13.5">
      <c r="A34" s="10">
        <v>29</v>
      </c>
      <c r="B34" s="10" t="s">
        <v>231</v>
      </c>
      <c r="C34" s="10" t="s">
        <v>240</v>
      </c>
      <c r="D34" s="12">
        <v>237</v>
      </c>
      <c r="E34" s="10">
        <v>222</v>
      </c>
      <c r="F34" s="10">
        <v>15</v>
      </c>
      <c r="G34" s="12">
        <v>21</v>
      </c>
      <c r="H34" s="11" t="s">
        <v>236</v>
      </c>
      <c r="I34" s="21">
        <f t="shared" si="0"/>
        <v>84.93320404223617</v>
      </c>
      <c r="J34" s="36"/>
    </row>
    <row r="35" spans="1:10" ht="13.5">
      <c r="A35" s="10">
        <v>30</v>
      </c>
      <c r="B35" s="10" t="s">
        <v>231</v>
      </c>
      <c r="C35" s="10" t="s">
        <v>241</v>
      </c>
      <c r="D35" s="10">
        <v>237</v>
      </c>
      <c r="E35" s="10">
        <v>222</v>
      </c>
      <c r="F35" s="10">
        <v>15</v>
      </c>
      <c r="G35" s="12">
        <v>21</v>
      </c>
      <c r="H35" s="11" t="s">
        <v>236</v>
      </c>
      <c r="I35" s="21">
        <f t="shared" si="0"/>
        <v>84.93320404223617</v>
      </c>
      <c r="J35" s="27" t="s">
        <v>242</v>
      </c>
    </row>
    <row r="36" spans="1:10" ht="13.5">
      <c r="A36" s="10">
        <v>31</v>
      </c>
      <c r="B36" s="10" t="s">
        <v>231</v>
      </c>
      <c r="C36" s="10" t="s">
        <v>243</v>
      </c>
      <c r="D36" s="10">
        <v>237</v>
      </c>
      <c r="E36" s="10">
        <v>222</v>
      </c>
      <c r="F36" s="10">
        <v>15</v>
      </c>
      <c r="G36" s="12">
        <v>21</v>
      </c>
      <c r="H36" s="11" t="s">
        <v>236</v>
      </c>
      <c r="I36" s="21">
        <f t="shared" si="0"/>
        <v>84.93320404223617</v>
      </c>
      <c r="J36" s="27" t="s">
        <v>244</v>
      </c>
    </row>
    <row r="37" spans="1:10" ht="13.5">
      <c r="A37" s="10">
        <v>32</v>
      </c>
      <c r="B37" s="10" t="s">
        <v>231</v>
      </c>
      <c r="C37" s="10" t="s">
        <v>245</v>
      </c>
      <c r="D37" s="10">
        <v>285</v>
      </c>
      <c r="E37" s="10">
        <v>270</v>
      </c>
      <c r="F37" s="10">
        <v>15</v>
      </c>
      <c r="G37" s="12">
        <v>20</v>
      </c>
      <c r="H37" s="11" t="s">
        <v>238</v>
      </c>
      <c r="I37" s="21">
        <f t="shared" si="0"/>
        <v>97.47574084781559</v>
      </c>
      <c r="J37" s="33" t="s">
        <v>246</v>
      </c>
    </row>
    <row r="38" spans="1:10" ht="13.5">
      <c r="A38" s="10">
        <v>33</v>
      </c>
      <c r="B38" s="10" t="s">
        <v>247</v>
      </c>
      <c r="C38" s="10" t="s">
        <v>248</v>
      </c>
      <c r="D38" s="8">
        <v>251</v>
      </c>
      <c r="E38" s="8">
        <v>237</v>
      </c>
      <c r="F38" s="8">
        <v>14</v>
      </c>
      <c r="G38" s="8">
        <v>20</v>
      </c>
      <c r="H38" s="15" t="s">
        <v>249</v>
      </c>
      <c r="I38" s="21">
        <f t="shared" si="0"/>
        <v>85.84705597474284</v>
      </c>
      <c r="J38" s="7" t="s">
        <v>250</v>
      </c>
    </row>
    <row r="39" spans="1:10" s="1" customFormat="1" ht="13.5">
      <c r="A39" s="10">
        <v>34</v>
      </c>
      <c r="B39" s="10" t="s">
        <v>251</v>
      </c>
      <c r="C39" s="10" t="s">
        <v>252</v>
      </c>
      <c r="D39" s="8">
        <v>307</v>
      </c>
      <c r="E39" s="10">
        <v>295</v>
      </c>
      <c r="F39" s="8">
        <v>12</v>
      </c>
      <c r="G39" s="8">
        <v>16.66</v>
      </c>
      <c r="H39" s="9" t="s">
        <v>229</v>
      </c>
      <c r="I39" s="21">
        <f t="shared" si="0"/>
        <v>88.01437143398891</v>
      </c>
      <c r="J39" s="38" t="s">
        <v>253</v>
      </c>
    </row>
    <row r="40" spans="1:10" s="1" customFormat="1" ht="13.5">
      <c r="A40" s="10">
        <v>35</v>
      </c>
      <c r="B40" s="10" t="s">
        <v>251</v>
      </c>
      <c r="C40" s="10" t="s">
        <v>254</v>
      </c>
      <c r="D40" s="8">
        <v>245</v>
      </c>
      <c r="E40" s="10">
        <v>230</v>
      </c>
      <c r="F40" s="8">
        <v>15</v>
      </c>
      <c r="G40" s="8">
        <v>21.5</v>
      </c>
      <c r="H40" s="9" t="s">
        <v>221</v>
      </c>
      <c r="I40" s="21">
        <f t="shared" si="0"/>
        <v>89.79280054745283</v>
      </c>
      <c r="J40" s="38" t="s">
        <v>255</v>
      </c>
    </row>
    <row r="41" spans="1:10" ht="13.5">
      <c r="A41" s="10">
        <v>36</v>
      </c>
      <c r="B41" s="10" t="s">
        <v>251</v>
      </c>
      <c r="C41" s="10" t="s">
        <v>256</v>
      </c>
      <c r="D41" s="8">
        <v>245</v>
      </c>
      <c r="E41" s="10">
        <v>230</v>
      </c>
      <c r="F41" s="8">
        <v>15</v>
      </c>
      <c r="G41" s="8">
        <v>21.5</v>
      </c>
      <c r="H41" s="9" t="s">
        <v>221</v>
      </c>
      <c r="I41" s="21">
        <f t="shared" si="0"/>
        <v>89.79280054745283</v>
      </c>
      <c r="J41" s="7" t="s">
        <v>257</v>
      </c>
    </row>
    <row r="42" spans="1:10" ht="13.5">
      <c r="A42" s="10">
        <v>37</v>
      </c>
      <c r="B42" s="10" t="s">
        <v>258</v>
      </c>
      <c r="C42" s="10" t="s">
        <v>259</v>
      </c>
      <c r="D42" s="8">
        <v>229</v>
      </c>
      <c r="E42" s="10">
        <v>214</v>
      </c>
      <c r="F42" s="8">
        <v>15</v>
      </c>
      <c r="G42" s="8">
        <v>22</v>
      </c>
      <c r="H42" s="9" t="s">
        <v>260</v>
      </c>
      <c r="I42" s="21">
        <f t="shared" si="0"/>
        <v>85.78490989224385</v>
      </c>
      <c r="J42" s="7" t="s">
        <v>261</v>
      </c>
    </row>
    <row r="43" spans="1:10" ht="13.5">
      <c r="A43" s="10">
        <v>38</v>
      </c>
      <c r="B43" s="10" t="s">
        <v>258</v>
      </c>
      <c r="C43" s="10" t="s">
        <v>262</v>
      </c>
      <c r="D43" s="8">
        <v>228</v>
      </c>
      <c r="E43" s="10">
        <v>210</v>
      </c>
      <c r="F43" s="8">
        <v>18</v>
      </c>
      <c r="G43" s="8">
        <v>23.75</v>
      </c>
      <c r="H43" s="9" t="s">
        <v>263</v>
      </c>
      <c r="I43" s="21">
        <f t="shared" si="0"/>
        <v>91.82624528779209</v>
      </c>
      <c r="J43" s="7" t="s">
        <v>264</v>
      </c>
    </row>
    <row r="44" spans="1:10" ht="13.5">
      <c r="A44" s="10">
        <v>39</v>
      </c>
      <c r="B44" s="10" t="s">
        <v>258</v>
      </c>
      <c r="C44" s="10" t="s">
        <v>265</v>
      </c>
      <c r="D44" s="8">
        <v>305</v>
      </c>
      <c r="E44" s="10">
        <v>290</v>
      </c>
      <c r="F44" s="8">
        <v>15</v>
      </c>
      <c r="G44" s="8">
        <v>19</v>
      </c>
      <c r="H44" s="15" t="s">
        <v>266</v>
      </c>
      <c r="I44" s="21">
        <f t="shared" si="0"/>
        <v>99.29828710943278</v>
      </c>
      <c r="J44" s="7" t="s">
        <v>267</v>
      </c>
    </row>
    <row r="45" spans="1:10" ht="13.5">
      <c r="A45" s="10">
        <v>40</v>
      </c>
      <c r="B45" s="10" t="s">
        <v>268</v>
      </c>
      <c r="C45" s="10" t="s">
        <v>269</v>
      </c>
      <c r="D45" s="6">
        <v>245</v>
      </c>
      <c r="E45" s="12">
        <v>230</v>
      </c>
      <c r="F45" s="12">
        <v>15</v>
      </c>
      <c r="G45" s="12">
        <v>22</v>
      </c>
      <c r="H45" s="11" t="s">
        <v>270</v>
      </c>
      <c r="I45" s="21">
        <f t="shared" si="0"/>
        <v>91.77861538689844</v>
      </c>
      <c r="J45" s="7" t="s">
        <v>271</v>
      </c>
    </row>
    <row r="46" spans="1:10" ht="13.5">
      <c r="A46" s="10">
        <v>41</v>
      </c>
      <c r="B46" s="10" t="s">
        <v>272</v>
      </c>
      <c r="C46" s="10" t="s">
        <v>273</v>
      </c>
      <c r="D46" s="8">
        <v>237</v>
      </c>
      <c r="E46" s="8">
        <v>222</v>
      </c>
      <c r="F46" s="8">
        <v>15</v>
      </c>
      <c r="G46" s="12">
        <v>21.6</v>
      </c>
      <c r="H46" s="11" t="s">
        <v>274</v>
      </c>
      <c r="I46" s="21">
        <f t="shared" si="0"/>
        <v>87.24551898626866</v>
      </c>
      <c r="J46" s="7" t="s">
        <v>275</v>
      </c>
    </row>
    <row r="47" spans="1:10" ht="13.5">
      <c r="A47" s="10">
        <v>42</v>
      </c>
      <c r="B47" s="4" t="s">
        <v>272</v>
      </c>
      <c r="C47" s="10" t="s">
        <v>276</v>
      </c>
      <c r="D47" s="8">
        <v>240</v>
      </c>
      <c r="E47" s="8">
        <v>225</v>
      </c>
      <c r="F47" s="8">
        <v>15</v>
      </c>
      <c r="G47" s="12">
        <v>21.6</v>
      </c>
      <c r="H47" s="11" t="s">
        <v>277</v>
      </c>
      <c r="I47" s="21">
        <f t="shared" si="0"/>
        <v>88.3498926443227</v>
      </c>
      <c r="J47" s="39" t="s">
        <v>278</v>
      </c>
    </row>
    <row r="48" spans="1:10" ht="13.5">
      <c r="A48" s="10">
        <v>43</v>
      </c>
      <c r="B48" s="10" t="s">
        <v>272</v>
      </c>
      <c r="C48" s="10" t="s">
        <v>279</v>
      </c>
      <c r="D48" s="17">
        <v>286</v>
      </c>
      <c r="E48" s="17">
        <f>D48-F48</f>
        <v>273</v>
      </c>
      <c r="F48" s="17">
        <v>13</v>
      </c>
      <c r="G48" s="18">
        <v>18</v>
      </c>
      <c r="H48" s="19" t="s">
        <v>280</v>
      </c>
      <c r="I48" s="21">
        <f t="shared" si="0"/>
        <v>88.37886039123495</v>
      </c>
      <c r="J48" s="27"/>
    </row>
    <row r="49" spans="1:10" ht="13.5">
      <c r="A49" s="10">
        <v>44</v>
      </c>
      <c r="B49" s="10" t="s">
        <v>281</v>
      </c>
      <c r="C49" s="10" t="s">
        <v>282</v>
      </c>
      <c r="D49" s="10">
        <v>267</v>
      </c>
      <c r="E49" s="10">
        <f>D49-F49</f>
        <v>251</v>
      </c>
      <c r="F49" s="10">
        <v>16</v>
      </c>
      <c r="G49" s="12">
        <v>22</v>
      </c>
      <c r="H49" s="11" t="s">
        <v>283</v>
      </c>
      <c r="I49" s="21">
        <f t="shared" si="0"/>
        <v>100.01996044204851</v>
      </c>
      <c r="J49" s="27" t="s">
        <v>284</v>
      </c>
    </row>
    <row r="50" spans="1:10" ht="13.5">
      <c r="A50" s="10">
        <v>45</v>
      </c>
      <c r="B50" s="10" t="s">
        <v>281</v>
      </c>
      <c r="C50" s="10" t="s">
        <v>285</v>
      </c>
      <c r="D50" s="12">
        <v>291</v>
      </c>
      <c r="E50" s="10">
        <v>275</v>
      </c>
      <c r="F50" s="12">
        <v>16</v>
      </c>
      <c r="G50" s="12">
        <v>21</v>
      </c>
      <c r="H50" s="11" t="s">
        <v>286</v>
      </c>
      <c r="I50" s="21">
        <f t="shared" si="0"/>
        <v>104.28507331768238</v>
      </c>
      <c r="J50" s="27" t="s">
        <v>287</v>
      </c>
    </row>
    <row r="51" spans="1:10" ht="15" customHeight="1">
      <c r="A51" s="10">
        <v>46</v>
      </c>
      <c r="B51" s="10" t="s">
        <v>281</v>
      </c>
      <c r="C51" s="10" t="s">
        <v>288</v>
      </c>
      <c r="D51" s="12">
        <v>291</v>
      </c>
      <c r="E51" s="10">
        <v>275</v>
      </c>
      <c r="F51" s="12">
        <v>16</v>
      </c>
      <c r="G51" s="12">
        <v>21</v>
      </c>
      <c r="H51" s="11" t="s">
        <v>286</v>
      </c>
      <c r="I51" s="21">
        <f t="shared" si="0"/>
        <v>104.28507331768238</v>
      </c>
      <c r="J51" s="27" t="s">
        <v>289</v>
      </c>
    </row>
    <row r="52" spans="1:10" ht="13.5">
      <c r="A52" s="10">
        <v>47</v>
      </c>
      <c r="B52" s="10" t="s">
        <v>281</v>
      </c>
      <c r="C52" s="10" t="s">
        <v>290</v>
      </c>
      <c r="D52" s="12">
        <v>267</v>
      </c>
      <c r="E52" s="10">
        <v>251</v>
      </c>
      <c r="F52" s="12">
        <v>16</v>
      </c>
      <c r="G52" s="12">
        <v>22</v>
      </c>
      <c r="H52" s="11" t="s">
        <v>283</v>
      </c>
      <c r="I52" s="21">
        <f t="shared" si="0"/>
        <v>100.01996044204851</v>
      </c>
      <c r="J52" s="27" t="s">
        <v>291</v>
      </c>
    </row>
    <row r="53" spans="1:10" ht="13.5">
      <c r="A53" s="10">
        <v>48</v>
      </c>
      <c r="B53" s="10" t="s">
        <v>281</v>
      </c>
      <c r="C53" s="10" t="s">
        <v>292</v>
      </c>
      <c r="D53" s="10">
        <v>237</v>
      </c>
      <c r="E53" s="10">
        <v>222</v>
      </c>
      <c r="F53" s="10">
        <v>15</v>
      </c>
      <c r="G53" s="12">
        <v>21</v>
      </c>
      <c r="H53" s="11" t="s">
        <v>236</v>
      </c>
      <c r="I53" s="21">
        <f t="shared" si="0"/>
        <v>84.93320404223617</v>
      </c>
      <c r="J53" s="27" t="s">
        <v>293</v>
      </c>
    </row>
    <row r="54" spans="1:10" ht="13.5">
      <c r="A54" s="10">
        <v>49</v>
      </c>
      <c r="B54" s="10" t="s">
        <v>281</v>
      </c>
      <c r="C54" s="10" t="s">
        <v>294</v>
      </c>
      <c r="D54" s="10">
        <v>252</v>
      </c>
      <c r="E54" s="10">
        <v>237</v>
      </c>
      <c r="F54" s="10">
        <v>15</v>
      </c>
      <c r="G54" s="8">
        <v>21</v>
      </c>
      <c r="H54" s="11" t="s">
        <v>295</v>
      </c>
      <c r="I54" s="21">
        <f t="shared" si="0"/>
        <v>90.30872328541567</v>
      </c>
      <c r="J54" s="27" t="s">
        <v>296</v>
      </c>
    </row>
    <row r="55" spans="1:10" ht="13.5">
      <c r="A55" s="10">
        <v>50</v>
      </c>
      <c r="B55" s="10" t="s">
        <v>281</v>
      </c>
      <c r="C55" s="10" t="s">
        <v>297</v>
      </c>
      <c r="D55" s="10">
        <v>222</v>
      </c>
      <c r="E55" s="10">
        <v>207</v>
      </c>
      <c r="F55" s="10">
        <v>15</v>
      </c>
      <c r="G55" s="12">
        <v>22.5</v>
      </c>
      <c r="H55" s="11" t="s">
        <v>298</v>
      </c>
      <c r="I55" s="21">
        <f t="shared" si="0"/>
        <v>84.95572198504993</v>
      </c>
      <c r="J55" s="27" t="s">
        <v>299</v>
      </c>
    </row>
    <row r="56" spans="1:10" ht="13.5">
      <c r="A56" s="10">
        <v>51</v>
      </c>
      <c r="B56" s="10" t="s">
        <v>281</v>
      </c>
      <c r="C56" s="10" t="s">
        <v>300</v>
      </c>
      <c r="D56" s="10">
        <v>237</v>
      </c>
      <c r="E56" s="10">
        <v>222</v>
      </c>
      <c r="F56" s="10">
        <v>15</v>
      </c>
      <c r="G56" s="8">
        <v>21.833</v>
      </c>
      <c r="H56" s="11" t="s">
        <v>301</v>
      </c>
      <c r="I56" s="21">
        <f t="shared" si="0"/>
        <v>88.1409027787785</v>
      </c>
      <c r="J56" s="27" t="s">
        <v>302</v>
      </c>
    </row>
    <row r="57" spans="1:10" ht="13.5">
      <c r="A57" s="10">
        <v>52</v>
      </c>
      <c r="B57" s="10" t="s">
        <v>281</v>
      </c>
      <c r="C57" s="10" t="s">
        <v>303</v>
      </c>
      <c r="D57" s="10">
        <v>237</v>
      </c>
      <c r="E57" s="10">
        <v>222</v>
      </c>
      <c r="F57" s="10">
        <v>15</v>
      </c>
      <c r="G57" s="8">
        <v>21.833</v>
      </c>
      <c r="H57" s="11" t="s">
        <v>301</v>
      </c>
      <c r="I57" s="21">
        <f t="shared" si="0"/>
        <v>88.1409027787785</v>
      </c>
      <c r="J57" s="27" t="s">
        <v>304</v>
      </c>
    </row>
    <row r="58" spans="1:10" ht="13.5">
      <c r="A58" s="10">
        <v>53</v>
      </c>
      <c r="B58" s="10" t="s">
        <v>281</v>
      </c>
      <c r="C58" s="10" t="s">
        <v>305</v>
      </c>
      <c r="D58" s="10">
        <v>282</v>
      </c>
      <c r="E58" s="10">
        <v>270</v>
      </c>
      <c r="F58" s="10">
        <v>12</v>
      </c>
      <c r="G58" s="8">
        <v>17.5</v>
      </c>
      <c r="H58" s="11" t="s">
        <v>306</v>
      </c>
      <c r="I58" s="21">
        <f t="shared" si="0"/>
        <v>84.79903546020502</v>
      </c>
      <c r="J58" s="27" t="s">
        <v>307</v>
      </c>
    </row>
    <row r="59" spans="1:10" ht="13.5">
      <c r="A59" s="10">
        <v>54</v>
      </c>
      <c r="B59" s="10" t="s">
        <v>308</v>
      </c>
      <c r="C59" s="10" t="s">
        <v>309</v>
      </c>
      <c r="D59" s="10">
        <v>237</v>
      </c>
      <c r="E59" s="10">
        <v>222</v>
      </c>
      <c r="F59" s="10">
        <v>15</v>
      </c>
      <c r="G59" s="10">
        <v>20.831</v>
      </c>
      <c r="H59" s="11" t="s">
        <v>310</v>
      </c>
      <c r="I59" s="21">
        <f t="shared" si="0"/>
        <v>84.28020984607568</v>
      </c>
      <c r="J59" s="27"/>
    </row>
    <row r="60" spans="1:10" ht="13.5">
      <c r="A60" s="10">
        <v>55</v>
      </c>
      <c r="B60" s="10" t="s">
        <v>311</v>
      </c>
      <c r="C60" s="10" t="s">
        <v>312</v>
      </c>
      <c r="D60" s="10">
        <v>237</v>
      </c>
      <c r="E60" s="10">
        <v>222.5</v>
      </c>
      <c r="F60" s="10">
        <v>14.5</v>
      </c>
      <c r="G60" s="12">
        <v>21.5</v>
      </c>
      <c r="H60" s="11" t="s">
        <v>313</v>
      </c>
      <c r="I60" s="21">
        <f t="shared" si="0"/>
        <v>86.86079073365845</v>
      </c>
      <c r="J60" s="27" t="s">
        <v>314</v>
      </c>
    </row>
    <row r="61" spans="1:10" ht="13.5">
      <c r="A61" s="10">
        <v>56</v>
      </c>
      <c r="B61" s="10" t="s">
        <v>311</v>
      </c>
      <c r="C61" s="10" t="s">
        <v>315</v>
      </c>
      <c r="D61" s="10">
        <v>237</v>
      </c>
      <c r="E61" s="10">
        <v>222</v>
      </c>
      <c r="F61" s="10">
        <v>15</v>
      </c>
      <c r="G61" s="12">
        <v>21.683</v>
      </c>
      <c r="H61" s="11" t="s">
        <v>167</v>
      </c>
      <c r="I61" s="21">
        <f t="shared" si="0"/>
        <v>87.56464165113086</v>
      </c>
      <c r="J61" s="27" t="s">
        <v>316</v>
      </c>
    </row>
    <row r="62" spans="1:10" ht="13.5">
      <c r="A62" s="10">
        <v>57</v>
      </c>
      <c r="B62" s="10" t="s">
        <v>311</v>
      </c>
      <c r="C62" s="10" t="s">
        <v>317</v>
      </c>
      <c r="D62" s="10">
        <v>250</v>
      </c>
      <c r="E62" s="10">
        <v>236</v>
      </c>
      <c r="F62" s="10">
        <v>14</v>
      </c>
      <c r="G62" s="10">
        <v>20.5</v>
      </c>
      <c r="H62" s="11" t="s">
        <v>318</v>
      </c>
      <c r="I62" s="21">
        <f t="shared" si="0"/>
        <v>87.55184531486684</v>
      </c>
      <c r="J62" s="27" t="s">
        <v>319</v>
      </c>
    </row>
    <row r="63" spans="1:10" ht="13.5">
      <c r="A63" s="10">
        <v>58</v>
      </c>
      <c r="B63" s="10" t="s">
        <v>311</v>
      </c>
      <c r="C63" s="10" t="s">
        <v>320</v>
      </c>
      <c r="D63" s="10">
        <v>282</v>
      </c>
      <c r="E63" s="10">
        <v>269.5</v>
      </c>
      <c r="F63" s="10">
        <v>12.5</v>
      </c>
      <c r="G63" s="10">
        <v>18.2</v>
      </c>
      <c r="H63" s="15" t="s">
        <v>321</v>
      </c>
      <c r="I63" s="21">
        <f t="shared" si="0"/>
        <v>88.07844702044957</v>
      </c>
      <c r="J63" s="27" t="s">
        <v>322</v>
      </c>
    </row>
    <row r="64" spans="1:10" ht="13.5">
      <c r="A64" s="10">
        <v>59</v>
      </c>
      <c r="B64" s="10" t="s">
        <v>323</v>
      </c>
      <c r="C64" s="10" t="s">
        <v>324</v>
      </c>
      <c r="D64" s="10">
        <v>228</v>
      </c>
      <c r="E64" s="10">
        <v>212</v>
      </c>
      <c r="F64" s="10">
        <v>16</v>
      </c>
      <c r="G64" s="12">
        <v>23</v>
      </c>
      <c r="H64" s="15" t="s">
        <v>325</v>
      </c>
      <c r="I64" s="21">
        <f t="shared" si="0"/>
        <v>89.0866972955544</v>
      </c>
      <c r="J64" s="27" t="s">
        <v>326</v>
      </c>
    </row>
    <row r="65" spans="1:10" ht="13.5">
      <c r="A65" s="10">
        <v>60</v>
      </c>
      <c r="B65" s="10" t="s">
        <v>327</v>
      </c>
      <c r="C65" s="10" t="s">
        <v>328</v>
      </c>
      <c r="D65" s="10">
        <v>215</v>
      </c>
      <c r="E65" s="10">
        <v>234.6</v>
      </c>
      <c r="F65" s="10">
        <v>-19.6</v>
      </c>
      <c r="G65" s="10">
        <v>0</v>
      </c>
      <c r="H65" s="11">
        <v>93.86</v>
      </c>
      <c r="I65" s="21">
        <f t="shared" si="0"/>
        <v>0</v>
      </c>
      <c r="J65" s="27" t="s">
        <v>329</v>
      </c>
    </row>
    <row r="66" spans="1:10" ht="13.5">
      <c r="A66" s="10">
        <v>61</v>
      </c>
      <c r="B66" s="10" t="s">
        <v>330</v>
      </c>
      <c r="C66" s="10" t="s">
        <v>331</v>
      </c>
      <c r="D66" s="10">
        <v>240</v>
      </c>
      <c r="E66" s="10">
        <v>235</v>
      </c>
      <c r="F66" s="10">
        <v>5</v>
      </c>
      <c r="G66" s="12">
        <v>12</v>
      </c>
      <c r="H66" s="11" t="s">
        <v>332</v>
      </c>
      <c r="I66" s="21">
        <f t="shared" si="0"/>
        <v>49.89880579626224</v>
      </c>
      <c r="J66" s="27" t="s">
        <v>333</v>
      </c>
    </row>
    <row r="67" spans="1:10" ht="13.5">
      <c r="A67" s="10">
        <v>62</v>
      </c>
      <c r="B67" s="10" t="s">
        <v>330</v>
      </c>
      <c r="C67" s="10" t="s">
        <v>334</v>
      </c>
      <c r="D67" s="10">
        <v>270</v>
      </c>
      <c r="E67" s="10">
        <v>265</v>
      </c>
      <c r="F67" s="10">
        <v>5</v>
      </c>
      <c r="G67" s="12">
        <v>11.2</v>
      </c>
      <c r="H67" s="11" t="s">
        <v>335</v>
      </c>
      <c r="I67" s="21">
        <f t="shared" si="0"/>
        <v>52.44327482939243</v>
      </c>
      <c r="J67" s="27"/>
    </row>
    <row r="68" spans="1:10" ht="13.5">
      <c r="A68" s="10">
        <v>63</v>
      </c>
      <c r="B68" s="10" t="s">
        <v>330</v>
      </c>
      <c r="C68" s="10" t="s">
        <v>336</v>
      </c>
      <c r="D68" s="10">
        <v>233</v>
      </c>
      <c r="E68" s="10">
        <v>221</v>
      </c>
      <c r="F68" s="10">
        <v>12</v>
      </c>
      <c r="G68" s="12">
        <v>18.8</v>
      </c>
      <c r="H68" s="11" t="s">
        <v>337</v>
      </c>
      <c r="I68" s="21">
        <f t="shared" si="0"/>
        <v>75.08790698870908</v>
      </c>
      <c r="J68" s="27" t="s">
        <v>338</v>
      </c>
    </row>
    <row r="69" spans="1:10" ht="13.5">
      <c r="A69" s="10">
        <v>64</v>
      </c>
      <c r="B69" s="10" t="s">
        <v>330</v>
      </c>
      <c r="C69" s="10" t="s">
        <v>339</v>
      </c>
      <c r="D69" s="10">
        <v>248</v>
      </c>
      <c r="E69" s="10">
        <v>235</v>
      </c>
      <c r="F69" s="10">
        <v>13</v>
      </c>
      <c r="G69" s="12">
        <v>19.3</v>
      </c>
      <c r="H69" s="11" t="s">
        <v>340</v>
      </c>
      <c r="I69" s="21">
        <f t="shared" si="0"/>
        <v>81.96756939287933</v>
      </c>
      <c r="J69" s="27"/>
    </row>
    <row r="70" spans="1:10" ht="13.5">
      <c r="A70" s="10">
        <v>65</v>
      </c>
      <c r="B70" s="10" t="s">
        <v>330</v>
      </c>
      <c r="C70" s="10" t="s">
        <v>341</v>
      </c>
      <c r="D70" s="10">
        <v>295</v>
      </c>
      <c r="E70" s="10">
        <v>286</v>
      </c>
      <c r="F70" s="10">
        <v>9</v>
      </c>
      <c r="G70" s="12">
        <v>14.4</v>
      </c>
      <c r="H70" s="11" t="s">
        <v>342</v>
      </c>
      <c r="I70" s="21">
        <f t="shared" si="0"/>
        <v>73.36351671363217</v>
      </c>
      <c r="J70" s="27"/>
    </row>
    <row r="71" spans="1:10" ht="13.5">
      <c r="A71" s="10">
        <v>66</v>
      </c>
      <c r="B71" s="10" t="s">
        <v>330</v>
      </c>
      <c r="C71" s="10" t="s">
        <v>343</v>
      </c>
      <c r="D71" s="8">
        <v>306</v>
      </c>
      <c r="E71" s="10">
        <v>293</v>
      </c>
      <c r="F71" s="8">
        <v>13</v>
      </c>
      <c r="G71" s="8">
        <v>18</v>
      </c>
      <c r="H71" s="9" t="s">
        <v>344</v>
      </c>
      <c r="I71" s="21">
        <f aca="true" t="shared" si="1" ref="I71:I134">D71*SIN(G71*PI()/180)</f>
        <v>94.5592002787339</v>
      </c>
      <c r="J71" s="27" t="s">
        <v>345</v>
      </c>
    </row>
    <row r="72" spans="1:10" ht="13.5">
      <c r="A72" s="10">
        <v>67</v>
      </c>
      <c r="B72" s="10" t="s">
        <v>346</v>
      </c>
      <c r="C72" s="10" t="s">
        <v>347</v>
      </c>
      <c r="D72" s="10">
        <v>250.5</v>
      </c>
      <c r="E72" s="10">
        <v>235</v>
      </c>
      <c r="F72" s="10">
        <v>15.5</v>
      </c>
      <c r="G72" s="10">
        <v>21.5</v>
      </c>
      <c r="H72" s="15" t="s">
        <v>348</v>
      </c>
      <c r="I72" s="21">
        <f t="shared" si="1"/>
        <v>91.80855729443645</v>
      </c>
      <c r="J72" s="7" t="s">
        <v>349</v>
      </c>
    </row>
    <row r="73" spans="1:10" s="1" customFormat="1" ht="15" customHeight="1">
      <c r="A73" s="10">
        <v>68</v>
      </c>
      <c r="B73" s="10" t="s">
        <v>350</v>
      </c>
      <c r="C73" s="10" t="s">
        <v>351</v>
      </c>
      <c r="D73" s="8">
        <v>237</v>
      </c>
      <c r="E73" s="10">
        <v>222</v>
      </c>
      <c r="F73" s="8">
        <v>15</v>
      </c>
      <c r="G73" s="8">
        <v>22.22</v>
      </c>
      <c r="H73" s="15" t="s">
        <v>352</v>
      </c>
      <c r="I73" s="21">
        <f t="shared" si="1"/>
        <v>89.62485700215078</v>
      </c>
      <c r="J73" s="38" t="s">
        <v>353</v>
      </c>
    </row>
    <row r="74" spans="1:10" s="1" customFormat="1" ht="13.5">
      <c r="A74" s="10">
        <v>69</v>
      </c>
      <c r="B74" s="10" t="s">
        <v>350</v>
      </c>
      <c r="C74" s="10" t="s">
        <v>354</v>
      </c>
      <c r="D74" s="8">
        <v>286</v>
      </c>
      <c r="E74" s="10">
        <v>273</v>
      </c>
      <c r="F74" s="8">
        <v>13</v>
      </c>
      <c r="G74" s="8">
        <v>18.65</v>
      </c>
      <c r="H74" s="15" t="s">
        <v>355</v>
      </c>
      <c r="I74" s="21">
        <f t="shared" si="1"/>
        <v>91.45887370833114</v>
      </c>
      <c r="J74" s="44" t="s">
        <v>356</v>
      </c>
    </row>
    <row r="75" spans="1:10" ht="13.5">
      <c r="A75" s="10">
        <v>70</v>
      </c>
      <c r="B75" s="10" t="s">
        <v>350</v>
      </c>
      <c r="C75" s="10" t="s">
        <v>357</v>
      </c>
      <c r="D75" s="8">
        <v>237</v>
      </c>
      <c r="E75" s="10">
        <v>222</v>
      </c>
      <c r="F75" s="8">
        <v>15</v>
      </c>
      <c r="G75" s="8">
        <v>22.22</v>
      </c>
      <c r="H75" s="15" t="s">
        <v>352</v>
      </c>
      <c r="I75" s="21">
        <f t="shared" si="1"/>
        <v>89.62485700215078</v>
      </c>
      <c r="J75" s="45" t="s">
        <v>358</v>
      </c>
    </row>
    <row r="76" spans="1:10" ht="13.5">
      <c r="A76" s="10">
        <v>71</v>
      </c>
      <c r="B76" s="10" t="s">
        <v>350</v>
      </c>
      <c r="C76" s="10" t="s">
        <v>359</v>
      </c>
      <c r="D76" s="8">
        <v>286</v>
      </c>
      <c r="E76" s="10">
        <v>273</v>
      </c>
      <c r="F76" s="8">
        <v>13</v>
      </c>
      <c r="G76" s="8">
        <v>18.65</v>
      </c>
      <c r="H76" s="15" t="s">
        <v>355</v>
      </c>
      <c r="I76" s="21">
        <f t="shared" si="1"/>
        <v>91.45887370833114</v>
      </c>
      <c r="J76" s="45" t="s">
        <v>360</v>
      </c>
    </row>
    <row r="77" spans="1:10" ht="13.5">
      <c r="A77" s="10">
        <v>72</v>
      </c>
      <c r="B77" s="10" t="s">
        <v>350</v>
      </c>
      <c r="C77" s="10" t="s">
        <v>361</v>
      </c>
      <c r="D77" s="8">
        <v>237</v>
      </c>
      <c r="E77" s="10">
        <v>222</v>
      </c>
      <c r="F77" s="8">
        <v>15</v>
      </c>
      <c r="G77" s="8">
        <v>21.5</v>
      </c>
      <c r="H77" s="15" t="s">
        <v>188</v>
      </c>
      <c r="I77" s="21">
        <f t="shared" si="1"/>
        <v>86.86079073365845</v>
      </c>
      <c r="J77" s="7" t="s">
        <v>362</v>
      </c>
    </row>
    <row r="78" spans="1:10" ht="13.5">
      <c r="A78" s="10">
        <v>73</v>
      </c>
      <c r="B78" s="10" t="s">
        <v>350</v>
      </c>
      <c r="C78" s="10" t="s">
        <v>363</v>
      </c>
      <c r="D78" s="10">
        <v>286</v>
      </c>
      <c r="E78" s="10">
        <v>272</v>
      </c>
      <c r="F78" s="10">
        <v>14</v>
      </c>
      <c r="G78" s="10">
        <v>18</v>
      </c>
      <c r="H78" s="289" t="s">
        <v>364</v>
      </c>
      <c r="I78" s="21">
        <f t="shared" si="1"/>
        <v>88.37886039123495</v>
      </c>
      <c r="J78" s="7" t="s">
        <v>365</v>
      </c>
    </row>
    <row r="79" spans="1:10" ht="13.5">
      <c r="A79" s="10">
        <v>74</v>
      </c>
      <c r="B79" s="10" t="s">
        <v>350</v>
      </c>
      <c r="C79" s="10" t="s">
        <v>366</v>
      </c>
      <c r="D79" s="10">
        <v>264</v>
      </c>
      <c r="E79" s="10">
        <v>250</v>
      </c>
      <c r="F79" s="10">
        <v>14</v>
      </c>
      <c r="G79" s="10">
        <v>20</v>
      </c>
      <c r="H79" s="15" t="s">
        <v>367</v>
      </c>
      <c r="I79" s="21">
        <f t="shared" si="1"/>
        <v>90.29331783797655</v>
      </c>
      <c r="J79" s="7" t="s">
        <v>368</v>
      </c>
    </row>
    <row r="80" spans="1:10" ht="13.5">
      <c r="A80" s="10">
        <v>75</v>
      </c>
      <c r="B80" s="10" t="s">
        <v>350</v>
      </c>
      <c r="C80" s="10" t="s">
        <v>369</v>
      </c>
      <c r="D80" s="10">
        <v>235</v>
      </c>
      <c r="E80" s="10">
        <v>221</v>
      </c>
      <c r="F80" s="10">
        <v>14</v>
      </c>
      <c r="G80" s="10">
        <v>21</v>
      </c>
      <c r="H80" s="15" t="s">
        <v>370</v>
      </c>
      <c r="I80" s="21">
        <f t="shared" si="1"/>
        <v>84.21646814314556</v>
      </c>
      <c r="J80" s="7" t="s">
        <v>371</v>
      </c>
    </row>
    <row r="81" spans="1:10" ht="13.5">
      <c r="A81" s="10">
        <v>76</v>
      </c>
      <c r="B81" s="10" t="s">
        <v>372</v>
      </c>
      <c r="C81" s="10" t="s">
        <v>373</v>
      </c>
      <c r="D81" s="40">
        <v>251</v>
      </c>
      <c r="E81" s="8">
        <v>237</v>
      </c>
      <c r="F81" s="8">
        <v>14</v>
      </c>
      <c r="G81" s="8">
        <v>20</v>
      </c>
      <c r="H81" s="15" t="s">
        <v>249</v>
      </c>
      <c r="I81" s="21">
        <f t="shared" si="1"/>
        <v>85.84705597474284</v>
      </c>
      <c r="J81" s="45" t="s">
        <v>374</v>
      </c>
    </row>
    <row r="82" spans="1:10" ht="13.5">
      <c r="A82" s="10">
        <v>77</v>
      </c>
      <c r="B82" s="10" t="s">
        <v>372</v>
      </c>
      <c r="C82" s="10" t="s">
        <v>375</v>
      </c>
      <c r="D82" s="12">
        <v>230</v>
      </c>
      <c r="E82" s="10"/>
      <c r="F82" s="10"/>
      <c r="G82" s="12"/>
      <c r="H82" s="11"/>
      <c r="I82" s="21">
        <f t="shared" si="1"/>
        <v>0</v>
      </c>
      <c r="J82" s="46" t="s">
        <v>376</v>
      </c>
    </row>
    <row r="83" spans="1:10" ht="13.5">
      <c r="A83" s="10">
        <v>78</v>
      </c>
      <c r="B83" s="10" t="s">
        <v>372</v>
      </c>
      <c r="C83" s="10" t="s">
        <v>377</v>
      </c>
      <c r="D83" s="12">
        <v>247</v>
      </c>
      <c r="E83" s="12">
        <v>237</v>
      </c>
      <c r="F83" s="12">
        <v>10</v>
      </c>
      <c r="G83" s="12"/>
      <c r="H83" s="11"/>
      <c r="I83" s="21">
        <f t="shared" si="1"/>
        <v>0</v>
      </c>
      <c r="J83" s="45" t="s">
        <v>378</v>
      </c>
    </row>
    <row r="84" spans="1:10" ht="13.5">
      <c r="A84" s="10">
        <v>79</v>
      </c>
      <c r="B84" s="10" t="s">
        <v>379</v>
      </c>
      <c r="C84" s="10">
        <v>6140</v>
      </c>
      <c r="D84" s="10">
        <v>245</v>
      </c>
      <c r="E84" s="10">
        <v>230</v>
      </c>
      <c r="F84" s="10">
        <v>15</v>
      </c>
      <c r="G84" s="12">
        <v>21.5</v>
      </c>
      <c r="H84" s="11" t="s">
        <v>221</v>
      </c>
      <c r="I84" s="21">
        <f t="shared" si="1"/>
        <v>89.79280054745283</v>
      </c>
      <c r="J84" s="7" t="s">
        <v>380</v>
      </c>
    </row>
    <row r="85" spans="1:10" ht="13.5">
      <c r="A85" s="10">
        <v>80</v>
      </c>
      <c r="B85" s="10" t="s">
        <v>381</v>
      </c>
      <c r="C85" s="10" t="s">
        <v>382</v>
      </c>
      <c r="D85" s="8">
        <v>240</v>
      </c>
      <c r="E85" s="10">
        <v>227</v>
      </c>
      <c r="F85" s="8">
        <v>13</v>
      </c>
      <c r="G85" s="10">
        <v>20</v>
      </c>
      <c r="H85" s="11" t="s">
        <v>383</v>
      </c>
      <c r="I85" s="21">
        <f t="shared" si="1"/>
        <v>82.0848343981605</v>
      </c>
      <c r="J85" s="7" t="s">
        <v>384</v>
      </c>
    </row>
    <row r="86" spans="1:10" ht="13.5">
      <c r="A86" s="10">
        <v>81</v>
      </c>
      <c r="B86" s="10" t="s">
        <v>381</v>
      </c>
      <c r="C86" s="10" t="s">
        <v>385</v>
      </c>
      <c r="D86" s="10">
        <v>312</v>
      </c>
      <c r="E86" s="10">
        <v>300</v>
      </c>
      <c r="F86" s="10">
        <v>12</v>
      </c>
      <c r="G86" s="12">
        <v>17</v>
      </c>
      <c r="H86" s="11" t="s">
        <v>386</v>
      </c>
      <c r="I86" s="21">
        <f t="shared" si="1"/>
        <v>91.21997187349388</v>
      </c>
      <c r="J86" s="7" t="s">
        <v>387</v>
      </c>
    </row>
    <row r="87" spans="1:10" ht="13.5">
      <c r="A87" s="10">
        <v>82</v>
      </c>
      <c r="B87" s="10" t="s">
        <v>388</v>
      </c>
      <c r="C87" s="10" t="s">
        <v>389</v>
      </c>
      <c r="D87" s="10">
        <v>250</v>
      </c>
      <c r="E87" s="10">
        <v>235</v>
      </c>
      <c r="F87" s="10">
        <v>15</v>
      </c>
      <c r="G87" s="8">
        <v>21</v>
      </c>
      <c r="H87" s="11" t="s">
        <v>390</v>
      </c>
      <c r="I87" s="21">
        <f t="shared" si="1"/>
        <v>89.59198738632507</v>
      </c>
      <c r="J87" s="27" t="s">
        <v>391</v>
      </c>
    </row>
    <row r="88" spans="1:10" ht="13.5">
      <c r="A88" s="10">
        <v>83</v>
      </c>
      <c r="B88" s="10" t="s">
        <v>388</v>
      </c>
      <c r="C88" s="10" t="s">
        <v>392</v>
      </c>
      <c r="D88" s="10">
        <v>220</v>
      </c>
      <c r="E88" s="10">
        <v>206</v>
      </c>
      <c r="F88" s="10">
        <v>14</v>
      </c>
      <c r="G88" s="10">
        <v>22</v>
      </c>
      <c r="H88" s="11" t="s">
        <v>393</v>
      </c>
      <c r="I88" s="21">
        <f t="shared" si="1"/>
        <v>82.41345055150065</v>
      </c>
      <c r="J88" s="27" t="s">
        <v>394</v>
      </c>
    </row>
    <row r="89" spans="1:10" ht="13.5">
      <c r="A89" s="10">
        <v>84</v>
      </c>
      <c r="B89" s="10" t="s">
        <v>388</v>
      </c>
      <c r="C89" s="10" t="s">
        <v>395</v>
      </c>
      <c r="D89" s="10">
        <v>242</v>
      </c>
      <c r="E89" s="10">
        <v>227</v>
      </c>
      <c r="F89" s="10">
        <v>15</v>
      </c>
      <c r="G89" s="6">
        <v>21.5</v>
      </c>
      <c r="H89" s="12" t="s">
        <v>396</v>
      </c>
      <c r="I89" s="21">
        <f t="shared" si="1"/>
        <v>88.69329686727994</v>
      </c>
      <c r="J89" s="27" t="s">
        <v>397</v>
      </c>
    </row>
    <row r="90" spans="1:10" ht="13.5">
      <c r="A90" s="10">
        <v>85</v>
      </c>
      <c r="B90" s="10" t="s">
        <v>388</v>
      </c>
      <c r="C90" s="10" t="s">
        <v>398</v>
      </c>
      <c r="D90" s="10">
        <v>235</v>
      </c>
      <c r="E90" s="10">
        <v>221</v>
      </c>
      <c r="F90" s="10">
        <v>14</v>
      </c>
      <c r="G90" s="10">
        <v>21</v>
      </c>
      <c r="H90" s="11" t="s">
        <v>370</v>
      </c>
      <c r="I90" s="21">
        <f t="shared" si="1"/>
        <v>84.21646814314556</v>
      </c>
      <c r="J90" s="27" t="s">
        <v>399</v>
      </c>
    </row>
    <row r="91" spans="1:10" ht="13.5">
      <c r="A91" s="10">
        <v>86</v>
      </c>
      <c r="B91" s="10" t="s">
        <v>400</v>
      </c>
      <c r="C91" s="10" t="s">
        <v>401</v>
      </c>
      <c r="D91" s="10">
        <v>240</v>
      </c>
      <c r="E91" s="10">
        <v>226</v>
      </c>
      <c r="F91" s="10">
        <v>14</v>
      </c>
      <c r="G91" s="10">
        <v>20.833</v>
      </c>
      <c r="H91" s="11" t="s">
        <v>402</v>
      </c>
      <c r="I91" s="21">
        <f t="shared" si="1"/>
        <v>85.35487785992595</v>
      </c>
      <c r="J91" s="27" t="s">
        <v>403</v>
      </c>
    </row>
    <row r="92" spans="1:10" ht="13.5">
      <c r="A92" s="10">
        <v>87</v>
      </c>
      <c r="B92" s="10" t="s">
        <v>404</v>
      </c>
      <c r="C92" s="10" t="s">
        <v>405</v>
      </c>
      <c r="D92" s="12">
        <v>237</v>
      </c>
      <c r="E92" s="12">
        <v>222</v>
      </c>
      <c r="F92" s="12">
        <v>15</v>
      </c>
      <c r="G92" s="12">
        <v>22</v>
      </c>
      <c r="H92" s="11" t="s">
        <v>157</v>
      </c>
      <c r="I92" s="21">
        <f t="shared" si="1"/>
        <v>88.78176263957114</v>
      </c>
      <c r="J92" s="27" t="s">
        <v>406</v>
      </c>
    </row>
    <row r="93" spans="1:10" s="1" customFormat="1" ht="13.5">
      <c r="A93" s="10">
        <v>88</v>
      </c>
      <c r="B93" s="10" t="s">
        <v>404</v>
      </c>
      <c r="C93" s="10" t="s">
        <v>407</v>
      </c>
      <c r="D93" s="8">
        <v>245</v>
      </c>
      <c r="E93" s="10">
        <v>230</v>
      </c>
      <c r="F93" s="8">
        <v>15</v>
      </c>
      <c r="G93" s="8">
        <v>21.7</v>
      </c>
      <c r="H93" s="9" t="s">
        <v>408</v>
      </c>
      <c r="I93" s="21">
        <f t="shared" si="1"/>
        <v>90.58795553208819</v>
      </c>
      <c r="J93" s="38" t="s">
        <v>409</v>
      </c>
    </row>
    <row r="94" spans="1:10" s="1" customFormat="1" ht="13.5">
      <c r="A94" s="10">
        <v>89</v>
      </c>
      <c r="B94" s="10" t="s">
        <v>404</v>
      </c>
      <c r="C94" s="10" t="s">
        <v>410</v>
      </c>
      <c r="D94" s="8">
        <v>282</v>
      </c>
      <c r="E94" s="10">
        <v>270</v>
      </c>
      <c r="F94" s="8">
        <v>12</v>
      </c>
      <c r="G94" s="8">
        <v>17.5</v>
      </c>
      <c r="H94" s="9" t="s">
        <v>306</v>
      </c>
      <c r="I94" s="21">
        <f t="shared" si="1"/>
        <v>84.79903546020502</v>
      </c>
      <c r="J94" s="38" t="s">
        <v>411</v>
      </c>
    </row>
    <row r="95" spans="1:10" ht="13.5">
      <c r="A95" s="10">
        <v>90</v>
      </c>
      <c r="B95" s="10" t="s">
        <v>412</v>
      </c>
      <c r="C95" s="10" t="s">
        <v>413</v>
      </c>
      <c r="D95" s="8">
        <v>262</v>
      </c>
      <c r="E95" s="10">
        <v>248</v>
      </c>
      <c r="F95" s="8">
        <v>14</v>
      </c>
      <c r="G95" s="8">
        <v>20</v>
      </c>
      <c r="H95" s="8" t="s">
        <v>414</v>
      </c>
      <c r="I95" s="21">
        <f t="shared" si="1"/>
        <v>89.6092775513252</v>
      </c>
      <c r="J95" s="27" t="s">
        <v>415</v>
      </c>
    </row>
    <row r="96" spans="1:10" ht="13.5">
      <c r="A96" s="10">
        <v>91</v>
      </c>
      <c r="B96" s="10" t="s">
        <v>412</v>
      </c>
      <c r="C96" s="10" t="s">
        <v>416</v>
      </c>
      <c r="D96" s="8">
        <v>228</v>
      </c>
      <c r="E96" s="10">
        <v>248</v>
      </c>
      <c r="F96" s="8">
        <v>-20</v>
      </c>
      <c r="G96" s="8">
        <v>0</v>
      </c>
      <c r="H96" s="8">
        <v>97.6</v>
      </c>
      <c r="I96" s="21">
        <f t="shared" si="1"/>
        <v>0</v>
      </c>
      <c r="J96" s="27" t="s">
        <v>417</v>
      </c>
    </row>
    <row r="97" spans="1:10" ht="13.5">
      <c r="A97" s="10">
        <v>92</v>
      </c>
      <c r="B97" s="10" t="s">
        <v>418</v>
      </c>
      <c r="C97" s="10" t="s">
        <v>419</v>
      </c>
      <c r="D97" s="10">
        <v>237</v>
      </c>
      <c r="E97" s="10">
        <v>222</v>
      </c>
      <c r="F97" s="10">
        <v>15</v>
      </c>
      <c r="G97" s="12">
        <v>21.6</v>
      </c>
      <c r="H97" s="11" t="s">
        <v>274</v>
      </c>
      <c r="I97" s="21">
        <f t="shared" si="1"/>
        <v>87.24551898626866</v>
      </c>
      <c r="J97" s="27" t="s">
        <v>420</v>
      </c>
    </row>
    <row r="98" spans="1:10" ht="13.5">
      <c r="A98" s="10">
        <v>93</v>
      </c>
      <c r="B98" s="10" t="s">
        <v>418</v>
      </c>
      <c r="C98" s="10" t="s">
        <v>421</v>
      </c>
      <c r="D98" s="10">
        <v>228.6</v>
      </c>
      <c r="E98" s="10">
        <v>210.82</v>
      </c>
      <c r="F98" s="10">
        <v>17.78</v>
      </c>
      <c r="G98" s="12">
        <v>24</v>
      </c>
      <c r="H98" s="11" t="s">
        <v>422</v>
      </c>
      <c r="I98" s="21">
        <f t="shared" si="1"/>
        <v>92.97999660712792</v>
      </c>
      <c r="J98" s="27" t="s">
        <v>423</v>
      </c>
    </row>
    <row r="99" spans="1:10" ht="13.5">
      <c r="A99" s="10">
        <v>94</v>
      </c>
      <c r="B99" s="10" t="s">
        <v>418</v>
      </c>
      <c r="C99" s="10" t="s">
        <v>424</v>
      </c>
      <c r="D99" s="10">
        <v>237</v>
      </c>
      <c r="E99" s="10">
        <v>218</v>
      </c>
      <c r="F99" s="10">
        <v>19</v>
      </c>
      <c r="G99" s="10">
        <v>24.6</v>
      </c>
      <c r="H99" s="15" t="s">
        <v>425</v>
      </c>
      <c r="I99" s="21">
        <f t="shared" si="1"/>
        <v>98.65854776571508</v>
      </c>
      <c r="J99" s="27"/>
    </row>
    <row r="100" spans="1:10" ht="13.5">
      <c r="A100" s="10">
        <v>95</v>
      </c>
      <c r="B100" s="10" t="s">
        <v>426</v>
      </c>
      <c r="C100" s="10" t="s">
        <v>427</v>
      </c>
      <c r="D100" s="10">
        <v>229</v>
      </c>
      <c r="E100" s="10">
        <v>211</v>
      </c>
      <c r="F100" s="10">
        <v>18</v>
      </c>
      <c r="G100" s="10">
        <v>24</v>
      </c>
      <c r="H100" s="15" t="s">
        <v>212</v>
      </c>
      <c r="I100" s="21">
        <f t="shared" si="1"/>
        <v>93.14269126435823</v>
      </c>
      <c r="J100" s="27" t="s">
        <v>428</v>
      </c>
    </row>
    <row r="101" spans="1:10" ht="13.5">
      <c r="A101" s="10">
        <v>96</v>
      </c>
      <c r="B101" s="10" t="s">
        <v>429</v>
      </c>
      <c r="C101" s="10" t="s">
        <v>430</v>
      </c>
      <c r="D101" s="10"/>
      <c r="E101" s="10"/>
      <c r="F101" s="10"/>
      <c r="G101" s="10"/>
      <c r="H101" s="15"/>
      <c r="I101" s="21">
        <f t="shared" si="1"/>
        <v>0</v>
      </c>
      <c r="J101" s="47" t="s">
        <v>431</v>
      </c>
    </row>
    <row r="102" spans="1:10" ht="13.5">
      <c r="A102" s="10">
        <v>97</v>
      </c>
      <c r="B102" s="10" t="s">
        <v>432</v>
      </c>
      <c r="C102" s="10" t="s">
        <v>433</v>
      </c>
      <c r="D102" s="10">
        <v>229</v>
      </c>
      <c r="E102" s="10">
        <v>211</v>
      </c>
      <c r="F102" s="10">
        <v>18</v>
      </c>
      <c r="G102" s="10">
        <v>24</v>
      </c>
      <c r="H102" s="15" t="s">
        <v>212</v>
      </c>
      <c r="I102" s="21">
        <f t="shared" si="1"/>
        <v>93.14269126435823</v>
      </c>
      <c r="J102" s="27" t="s">
        <v>434</v>
      </c>
    </row>
    <row r="103" spans="1:10" ht="13.5">
      <c r="A103" s="10">
        <v>98</v>
      </c>
      <c r="B103" s="10" t="s">
        <v>435</v>
      </c>
      <c r="C103" s="10" t="s">
        <v>436</v>
      </c>
      <c r="D103" s="12"/>
      <c r="E103" s="12"/>
      <c r="F103" s="12"/>
      <c r="G103" s="12"/>
      <c r="H103" s="11"/>
      <c r="I103" s="21">
        <f t="shared" si="1"/>
        <v>0</v>
      </c>
      <c r="J103" s="27" t="s">
        <v>437</v>
      </c>
    </row>
    <row r="104" spans="1:10" ht="13.5">
      <c r="A104" s="10">
        <v>99</v>
      </c>
      <c r="B104" s="10" t="s">
        <v>438</v>
      </c>
      <c r="C104" s="10" t="s">
        <v>439</v>
      </c>
      <c r="D104" s="10">
        <v>248</v>
      </c>
      <c r="E104" s="10">
        <v>232.6</v>
      </c>
      <c r="F104" s="10">
        <v>15.4</v>
      </c>
      <c r="G104" s="10">
        <v>21.3</v>
      </c>
      <c r="H104" s="11" t="s">
        <v>440</v>
      </c>
      <c r="I104" s="21">
        <f t="shared" si="1"/>
        <v>90.08630515729864</v>
      </c>
      <c r="J104" s="27" t="s">
        <v>441</v>
      </c>
    </row>
    <row r="105" spans="1:10" ht="13.5">
      <c r="A105" s="10">
        <v>100</v>
      </c>
      <c r="B105" s="10" t="s">
        <v>442</v>
      </c>
      <c r="C105" s="10" t="s">
        <v>443</v>
      </c>
      <c r="D105" s="10">
        <v>243</v>
      </c>
      <c r="E105" s="10">
        <v>227</v>
      </c>
      <c r="F105" s="10">
        <v>16</v>
      </c>
      <c r="G105" s="12">
        <v>21.75</v>
      </c>
      <c r="H105" s="12" t="s">
        <v>444</v>
      </c>
      <c r="I105" s="21">
        <f t="shared" si="1"/>
        <v>90.0454573148902</v>
      </c>
      <c r="J105" s="27"/>
    </row>
    <row r="106" spans="1:10" ht="13.5">
      <c r="A106" s="10">
        <v>101</v>
      </c>
      <c r="B106" s="10" t="s">
        <v>442</v>
      </c>
      <c r="C106" s="10" t="s">
        <v>445</v>
      </c>
      <c r="D106" s="10">
        <v>307</v>
      </c>
      <c r="E106" s="10">
        <v>293</v>
      </c>
      <c r="F106" s="10">
        <v>14</v>
      </c>
      <c r="G106" s="12">
        <v>18.35</v>
      </c>
      <c r="H106" s="12" t="s">
        <v>446</v>
      </c>
      <c r="I106" s="21">
        <f t="shared" si="1"/>
        <v>96.65000596396884</v>
      </c>
      <c r="J106" s="27"/>
    </row>
    <row r="107" spans="1:10" ht="15" customHeight="1">
      <c r="A107" s="10">
        <v>102</v>
      </c>
      <c r="B107" s="10" t="s">
        <v>447</v>
      </c>
      <c r="C107" s="10" t="s">
        <v>448</v>
      </c>
      <c r="D107" s="12" t="s">
        <v>449</v>
      </c>
      <c r="E107" s="12">
        <v>222</v>
      </c>
      <c r="F107" s="12">
        <v>11</v>
      </c>
      <c r="G107" s="12" t="s">
        <v>450</v>
      </c>
      <c r="H107" s="12"/>
      <c r="I107" s="21" t="e">
        <f t="shared" si="1"/>
        <v>#VALUE!</v>
      </c>
      <c r="J107" s="27" t="s">
        <v>451</v>
      </c>
    </row>
    <row r="108" spans="1:10" ht="13.5">
      <c r="A108" s="10">
        <v>103</v>
      </c>
      <c r="B108" s="10" t="s">
        <v>447</v>
      </c>
      <c r="C108" s="10" t="s">
        <v>452</v>
      </c>
      <c r="D108" s="12" t="s">
        <v>449</v>
      </c>
      <c r="E108" s="12">
        <v>222</v>
      </c>
      <c r="F108" s="12">
        <v>11</v>
      </c>
      <c r="G108" s="12" t="s">
        <v>450</v>
      </c>
      <c r="H108" s="12"/>
      <c r="I108" s="21" t="e">
        <f t="shared" si="1"/>
        <v>#VALUE!</v>
      </c>
      <c r="J108" s="27" t="s">
        <v>453</v>
      </c>
    </row>
    <row r="109" spans="1:10" ht="13.5">
      <c r="A109" s="10">
        <v>104</v>
      </c>
      <c r="B109" s="10" t="s">
        <v>454</v>
      </c>
      <c r="C109" s="10" t="s">
        <v>455</v>
      </c>
      <c r="D109" s="12">
        <v>223.5</v>
      </c>
      <c r="E109" s="12"/>
      <c r="F109" s="12"/>
      <c r="G109" s="12"/>
      <c r="H109" s="12"/>
      <c r="I109" s="21">
        <f t="shared" si="1"/>
        <v>0</v>
      </c>
      <c r="J109" s="27" t="s">
        <v>456</v>
      </c>
    </row>
    <row r="110" spans="1:10" ht="13.5">
      <c r="A110" s="10">
        <v>105</v>
      </c>
      <c r="B110" s="10" t="s">
        <v>457</v>
      </c>
      <c r="C110" s="10" t="s">
        <v>458</v>
      </c>
      <c r="D110" s="10">
        <v>228</v>
      </c>
      <c r="E110" s="10">
        <v>208</v>
      </c>
      <c r="F110" s="10">
        <v>20</v>
      </c>
      <c r="G110" s="12">
        <v>25.5</v>
      </c>
      <c r="H110" s="12" t="s">
        <v>459</v>
      </c>
      <c r="I110" s="21">
        <f t="shared" si="1"/>
        <v>98.15653007229128</v>
      </c>
      <c r="J110" s="27" t="s">
        <v>460</v>
      </c>
    </row>
    <row r="111" spans="1:10" s="1" customFormat="1" ht="13.5">
      <c r="A111" s="10">
        <v>106</v>
      </c>
      <c r="B111" s="10" t="s">
        <v>457</v>
      </c>
      <c r="C111" s="41" t="s">
        <v>461</v>
      </c>
      <c r="D111" s="42">
        <v>262</v>
      </c>
      <c r="E111" s="42">
        <v>244.8</v>
      </c>
      <c r="F111" s="42">
        <v>17.2</v>
      </c>
      <c r="G111" s="43">
        <v>22</v>
      </c>
      <c r="H111" s="12" t="s">
        <v>459</v>
      </c>
      <c r="I111" s="21">
        <f t="shared" si="1"/>
        <v>98.14692747496895</v>
      </c>
      <c r="J111" s="48" t="s">
        <v>462</v>
      </c>
    </row>
    <row r="112" spans="1:10" ht="13.5">
      <c r="A112" s="10">
        <v>107</v>
      </c>
      <c r="B112" s="10" t="s">
        <v>457</v>
      </c>
      <c r="C112" s="10" t="s">
        <v>463</v>
      </c>
      <c r="D112" s="12">
        <v>249.44</v>
      </c>
      <c r="E112" s="10">
        <v>231.44</v>
      </c>
      <c r="F112" s="12">
        <v>18</v>
      </c>
      <c r="G112" s="12">
        <v>23.1</v>
      </c>
      <c r="H112" s="12" t="s">
        <v>459</v>
      </c>
      <c r="I112" s="21">
        <f t="shared" si="1"/>
        <v>97.86457036559237</v>
      </c>
      <c r="J112" s="49" t="s">
        <v>464</v>
      </c>
    </row>
    <row r="113" spans="1:10" ht="13.5">
      <c r="A113" s="10">
        <v>108</v>
      </c>
      <c r="B113" s="10" t="s">
        <v>465</v>
      </c>
      <c r="C113" s="10" t="s">
        <v>466</v>
      </c>
      <c r="D113" s="6">
        <v>266.7</v>
      </c>
      <c r="E113" s="10">
        <v>251.3</v>
      </c>
      <c r="F113" s="12">
        <v>15.4</v>
      </c>
      <c r="G113" s="12">
        <v>20.5</v>
      </c>
      <c r="H113" s="12" t="s">
        <v>212</v>
      </c>
      <c r="I113" s="21">
        <f t="shared" si="1"/>
        <v>93.40030858189995</v>
      </c>
      <c r="J113" s="27" t="s">
        <v>467</v>
      </c>
    </row>
    <row r="114" spans="1:10" ht="13.5">
      <c r="A114" s="10">
        <v>109</v>
      </c>
      <c r="B114" s="10" t="s">
        <v>465</v>
      </c>
      <c r="C114" s="10" t="s">
        <v>468</v>
      </c>
      <c r="D114" s="10">
        <v>259.75</v>
      </c>
      <c r="E114" s="10">
        <v>243.85</v>
      </c>
      <c r="F114" s="10">
        <v>15.9</v>
      </c>
      <c r="G114" s="12">
        <v>21.1</v>
      </c>
      <c r="H114" s="12" t="s">
        <v>212</v>
      </c>
      <c r="I114" s="21">
        <f t="shared" si="1"/>
        <v>93.5091709091833</v>
      </c>
      <c r="J114" s="27" t="s">
        <v>469</v>
      </c>
    </row>
    <row r="115" spans="1:10" ht="13.5">
      <c r="A115" s="10">
        <v>110</v>
      </c>
      <c r="B115" s="10" t="s">
        <v>465</v>
      </c>
      <c r="C115" s="10">
        <v>12.1</v>
      </c>
      <c r="D115" s="4">
        <v>305.64</v>
      </c>
      <c r="E115" s="10">
        <v>292.25</v>
      </c>
      <c r="F115" s="10">
        <v>13.39</v>
      </c>
      <c r="G115" s="12">
        <v>17.84</v>
      </c>
      <c r="H115" s="12" t="s">
        <v>212</v>
      </c>
      <c r="I115" s="21">
        <f t="shared" si="1"/>
        <v>93.63585271119375</v>
      </c>
      <c r="J115" s="27" t="s">
        <v>470</v>
      </c>
    </row>
    <row r="116" spans="1:10" ht="13.5">
      <c r="A116" s="10">
        <v>111</v>
      </c>
      <c r="B116" s="10" t="s">
        <v>471</v>
      </c>
      <c r="C116" s="10" t="s">
        <v>472</v>
      </c>
      <c r="D116" s="10">
        <v>239.31</v>
      </c>
      <c r="E116" s="10">
        <v>222</v>
      </c>
      <c r="F116" s="10">
        <v>17.31</v>
      </c>
      <c r="G116" s="10">
        <v>23</v>
      </c>
      <c r="H116" s="10" t="s">
        <v>212</v>
      </c>
      <c r="I116" s="21">
        <f t="shared" si="1"/>
        <v>93.50586635876809</v>
      </c>
      <c r="J116" s="27" t="s">
        <v>473</v>
      </c>
    </row>
    <row r="117" spans="1:10" ht="13.5">
      <c r="A117" s="10">
        <v>112</v>
      </c>
      <c r="B117" s="10" t="s">
        <v>471</v>
      </c>
      <c r="C117" s="10" t="s">
        <v>474</v>
      </c>
      <c r="D117" s="10">
        <v>263.6</v>
      </c>
      <c r="E117" s="10">
        <v>248</v>
      </c>
      <c r="F117" s="10">
        <v>15.6</v>
      </c>
      <c r="G117" s="10">
        <v>20.77</v>
      </c>
      <c r="H117" s="10" t="s">
        <v>212</v>
      </c>
      <c r="I117" s="21">
        <f t="shared" si="1"/>
        <v>93.47715722977405</v>
      </c>
      <c r="J117" s="27" t="s">
        <v>475</v>
      </c>
    </row>
    <row r="118" spans="1:10" ht="13.5">
      <c r="A118" s="10">
        <v>113</v>
      </c>
      <c r="B118" s="10" t="s">
        <v>471</v>
      </c>
      <c r="C118" s="10" t="s">
        <v>476</v>
      </c>
      <c r="D118" s="10">
        <v>316.86</v>
      </c>
      <c r="E118" s="10">
        <v>304</v>
      </c>
      <c r="F118" s="10">
        <v>12.86</v>
      </c>
      <c r="G118" s="10">
        <v>17.16</v>
      </c>
      <c r="H118" s="10" t="s">
        <v>212</v>
      </c>
      <c r="I118" s="21">
        <f t="shared" si="1"/>
        <v>93.48671278375522</v>
      </c>
      <c r="J118" s="27" t="s">
        <v>475</v>
      </c>
    </row>
    <row r="119" spans="1:10" ht="13.5">
      <c r="A119" s="10">
        <v>114</v>
      </c>
      <c r="B119" s="10" t="s">
        <v>471</v>
      </c>
      <c r="C119" s="10" t="s">
        <v>477</v>
      </c>
      <c r="D119" s="10">
        <v>338.98</v>
      </c>
      <c r="E119" s="8">
        <v>327</v>
      </c>
      <c r="F119" s="10">
        <v>11.98</v>
      </c>
      <c r="G119" s="10">
        <v>16</v>
      </c>
      <c r="H119" s="10" t="s">
        <v>212</v>
      </c>
      <c r="I119" s="21">
        <f t="shared" si="1"/>
        <v>93.43555087484638</v>
      </c>
      <c r="J119" s="27" t="s">
        <v>475</v>
      </c>
    </row>
    <row r="120" spans="1:10" ht="13.5">
      <c r="A120" s="10">
        <v>115</v>
      </c>
      <c r="B120" s="10" t="s">
        <v>471</v>
      </c>
      <c r="C120" s="12" t="s">
        <v>478</v>
      </c>
      <c r="D120" s="10">
        <v>254</v>
      </c>
      <c r="E120" s="10">
        <v>237.8</v>
      </c>
      <c r="F120" s="42">
        <v>16.2</v>
      </c>
      <c r="G120" s="10">
        <v>21.6</v>
      </c>
      <c r="H120" s="10" t="s">
        <v>212</v>
      </c>
      <c r="I120" s="21">
        <f t="shared" si="1"/>
        <v>93.5036363819082</v>
      </c>
      <c r="J120" s="27" t="s">
        <v>479</v>
      </c>
    </row>
    <row r="121" spans="1:10" ht="13.5">
      <c r="A121" s="10">
        <v>116</v>
      </c>
      <c r="B121" s="10" t="s">
        <v>471</v>
      </c>
      <c r="C121" s="12" t="s">
        <v>480</v>
      </c>
      <c r="D121" s="8">
        <v>327</v>
      </c>
      <c r="E121" s="10">
        <v>315</v>
      </c>
      <c r="F121" s="42">
        <v>12</v>
      </c>
      <c r="G121" s="12">
        <v>16</v>
      </c>
      <c r="H121" s="12" t="s">
        <v>481</v>
      </c>
      <c r="I121" s="21">
        <f t="shared" si="1"/>
        <v>90.13341535215872</v>
      </c>
      <c r="J121" s="27" t="s">
        <v>482</v>
      </c>
    </row>
    <row r="122" spans="1:10" ht="13.5">
      <c r="A122" s="10">
        <v>117</v>
      </c>
      <c r="B122" s="10" t="s">
        <v>483</v>
      </c>
      <c r="C122" s="10" t="s">
        <v>484</v>
      </c>
      <c r="D122" s="12">
        <v>213</v>
      </c>
      <c r="E122" s="8">
        <v>199</v>
      </c>
      <c r="F122" s="12">
        <v>14</v>
      </c>
      <c r="G122" s="12">
        <v>21.4</v>
      </c>
      <c r="H122" s="12" t="s">
        <v>485</v>
      </c>
      <c r="I122" s="21">
        <f t="shared" si="1"/>
        <v>77.71875506391298</v>
      </c>
      <c r="J122" s="27" t="s">
        <v>486</v>
      </c>
    </row>
    <row r="123" spans="1:10" ht="13.5">
      <c r="A123" s="10">
        <v>118</v>
      </c>
      <c r="B123" s="10" t="s">
        <v>487</v>
      </c>
      <c r="C123" s="10" t="s">
        <v>488</v>
      </c>
      <c r="D123" s="10">
        <v>239</v>
      </c>
      <c r="E123" s="10">
        <v>221.7</v>
      </c>
      <c r="F123" s="10">
        <v>17.3</v>
      </c>
      <c r="G123" s="10">
        <v>23</v>
      </c>
      <c r="H123" s="12" t="s">
        <v>212</v>
      </c>
      <c r="I123" s="21">
        <f t="shared" si="1"/>
        <v>93.38473970893642</v>
      </c>
      <c r="J123" s="27" t="s">
        <v>489</v>
      </c>
    </row>
    <row r="124" spans="1:10" ht="13.5">
      <c r="A124" s="10">
        <v>119</v>
      </c>
      <c r="B124" s="10" t="s">
        <v>490</v>
      </c>
      <c r="C124" s="10" t="s">
        <v>491</v>
      </c>
      <c r="D124" s="10">
        <v>233.2</v>
      </c>
      <c r="E124" s="10">
        <v>215.4</v>
      </c>
      <c r="F124" s="10">
        <v>17.8</v>
      </c>
      <c r="G124" s="10">
        <v>23.64</v>
      </c>
      <c r="H124" s="10" t="s">
        <v>212</v>
      </c>
      <c r="I124" s="21">
        <f t="shared" si="1"/>
        <v>93.51055943284693</v>
      </c>
      <c r="J124" s="27" t="s">
        <v>492</v>
      </c>
    </row>
    <row r="125" spans="1:10" ht="13.5">
      <c r="A125" s="10">
        <v>120</v>
      </c>
      <c r="B125" s="10" t="s">
        <v>490</v>
      </c>
      <c r="C125" s="10" t="s">
        <v>493</v>
      </c>
      <c r="D125" s="10">
        <v>254</v>
      </c>
      <c r="E125" s="10">
        <v>237.8</v>
      </c>
      <c r="F125" s="10">
        <v>16.2</v>
      </c>
      <c r="G125" s="10">
        <v>21.6</v>
      </c>
      <c r="H125" s="10" t="s">
        <v>212</v>
      </c>
      <c r="I125" s="21">
        <f t="shared" si="1"/>
        <v>93.5036363819082</v>
      </c>
      <c r="J125" s="27" t="s">
        <v>492</v>
      </c>
    </row>
    <row r="126" spans="1:10" ht="13.5">
      <c r="A126" s="10">
        <v>121</v>
      </c>
      <c r="B126" s="10" t="s">
        <v>490</v>
      </c>
      <c r="C126" s="10" t="s">
        <v>494</v>
      </c>
      <c r="D126" s="10">
        <v>308.8</v>
      </c>
      <c r="E126" s="10">
        <v>295.6</v>
      </c>
      <c r="F126" s="10">
        <v>13.2</v>
      </c>
      <c r="G126" s="10">
        <v>17.63</v>
      </c>
      <c r="H126" s="10" t="s">
        <v>212</v>
      </c>
      <c r="I126" s="21">
        <f t="shared" si="1"/>
        <v>93.52592828476409</v>
      </c>
      <c r="J126" s="27" t="s">
        <v>492</v>
      </c>
    </row>
    <row r="127" spans="1:10" ht="13.5">
      <c r="A127" s="10">
        <v>122</v>
      </c>
      <c r="B127" s="10" t="s">
        <v>495</v>
      </c>
      <c r="C127" s="10" t="s">
        <v>496</v>
      </c>
      <c r="D127" s="12">
        <v>228.6</v>
      </c>
      <c r="E127" s="10">
        <v>212.725</v>
      </c>
      <c r="F127" s="12">
        <v>15.875</v>
      </c>
      <c r="G127" s="12">
        <v>26</v>
      </c>
      <c r="H127" s="12" t="s">
        <v>497</v>
      </c>
      <c r="I127" s="21">
        <f t="shared" si="1"/>
        <v>100.2116441559831</v>
      </c>
      <c r="J127" s="27" t="s">
        <v>498</v>
      </c>
    </row>
    <row r="128" spans="1:10" ht="13.5">
      <c r="A128" s="10">
        <v>123</v>
      </c>
      <c r="B128" s="10" t="s">
        <v>495</v>
      </c>
      <c r="C128" s="10" t="s">
        <v>499</v>
      </c>
      <c r="D128" s="12">
        <v>228.6</v>
      </c>
      <c r="E128" s="10">
        <v>212.725</v>
      </c>
      <c r="F128" s="12">
        <v>15.875</v>
      </c>
      <c r="G128" s="12">
        <v>26</v>
      </c>
      <c r="H128" s="12" t="s">
        <v>497</v>
      </c>
      <c r="I128" s="21">
        <f t="shared" si="1"/>
        <v>100.2116441559831</v>
      </c>
      <c r="J128" s="27" t="s">
        <v>500</v>
      </c>
    </row>
    <row r="129" spans="1:10" ht="13.5">
      <c r="A129" s="10">
        <v>124</v>
      </c>
      <c r="B129" s="10" t="s">
        <v>495</v>
      </c>
      <c r="C129" s="10" t="s">
        <v>501</v>
      </c>
      <c r="D129" s="12">
        <v>205</v>
      </c>
      <c r="E129" s="12"/>
      <c r="F129" s="12"/>
      <c r="G129" s="12"/>
      <c r="H129" s="12"/>
      <c r="I129" s="21">
        <f t="shared" si="1"/>
        <v>0</v>
      </c>
      <c r="J129" s="27" t="s">
        <v>502</v>
      </c>
    </row>
    <row r="130" spans="1:10" ht="13.5">
      <c r="A130" s="10">
        <v>125</v>
      </c>
      <c r="B130" s="10" t="s">
        <v>503</v>
      </c>
      <c r="C130" s="10" t="s">
        <v>504</v>
      </c>
      <c r="D130" s="10">
        <v>228.6</v>
      </c>
      <c r="E130" s="10">
        <v>214.6</v>
      </c>
      <c r="F130" s="10">
        <v>14</v>
      </c>
      <c r="G130" s="12">
        <v>21</v>
      </c>
      <c r="H130" s="12" t="s">
        <v>505</v>
      </c>
      <c r="I130" s="21">
        <f t="shared" si="1"/>
        <v>81.92291326605564</v>
      </c>
      <c r="J130" s="27" t="s">
        <v>506</v>
      </c>
    </row>
    <row r="131" spans="1:10" s="1" customFormat="1" ht="13.5">
      <c r="A131" s="10">
        <v>126</v>
      </c>
      <c r="B131" s="10" t="s">
        <v>507</v>
      </c>
      <c r="C131" s="10" t="s">
        <v>508</v>
      </c>
      <c r="D131" s="12">
        <v>228.6</v>
      </c>
      <c r="E131" s="10">
        <v>211.1</v>
      </c>
      <c r="F131" s="12">
        <v>17.5</v>
      </c>
      <c r="G131" s="8">
        <v>23.8</v>
      </c>
      <c r="H131" s="12" t="s">
        <v>509</v>
      </c>
      <c r="I131" s="21">
        <f t="shared" si="1"/>
        <v>92.25045474615635</v>
      </c>
      <c r="J131" s="32" t="s">
        <v>510</v>
      </c>
    </row>
    <row r="132" spans="1:10" ht="13.5">
      <c r="A132" s="10">
        <v>127</v>
      </c>
      <c r="B132" s="10" t="s">
        <v>511</v>
      </c>
      <c r="C132" s="10">
        <v>929</v>
      </c>
      <c r="D132" s="8">
        <v>244</v>
      </c>
      <c r="E132" s="8">
        <v>230</v>
      </c>
      <c r="F132" s="8">
        <v>14</v>
      </c>
      <c r="G132" s="8">
        <v>20.833</v>
      </c>
      <c r="H132" s="8" t="s">
        <v>313</v>
      </c>
      <c r="I132" s="21">
        <f t="shared" si="1"/>
        <v>86.77745915759138</v>
      </c>
      <c r="J132" s="27" t="s">
        <v>512</v>
      </c>
    </row>
    <row r="133" spans="1:10" ht="13.5">
      <c r="A133" s="10">
        <v>128</v>
      </c>
      <c r="B133" s="10" t="s">
        <v>511</v>
      </c>
      <c r="C133" s="10" t="s">
        <v>513</v>
      </c>
      <c r="D133" s="12">
        <v>244</v>
      </c>
      <c r="E133" s="12">
        <v>229</v>
      </c>
      <c r="F133" s="12">
        <v>15</v>
      </c>
      <c r="G133" s="12">
        <v>21</v>
      </c>
      <c r="H133" s="10"/>
      <c r="I133" s="21">
        <f t="shared" si="1"/>
        <v>87.44177968905326</v>
      </c>
      <c r="J133" s="27" t="s">
        <v>514</v>
      </c>
    </row>
    <row r="134" spans="1:10" ht="13.5">
      <c r="A134" s="10">
        <v>129</v>
      </c>
      <c r="B134" s="10" t="s">
        <v>511</v>
      </c>
      <c r="C134" s="10" t="s">
        <v>515</v>
      </c>
      <c r="D134" s="12">
        <v>240</v>
      </c>
      <c r="E134" s="12">
        <v>224</v>
      </c>
      <c r="F134" s="50">
        <v>16</v>
      </c>
      <c r="G134" s="50">
        <v>23</v>
      </c>
      <c r="H134" s="50" t="s">
        <v>516</v>
      </c>
      <c r="I134" s="21">
        <f t="shared" si="1"/>
        <v>93.77547083742569</v>
      </c>
      <c r="J134" s="27" t="s">
        <v>517</v>
      </c>
    </row>
    <row r="135" spans="1:10" ht="13.5">
      <c r="A135" s="51">
        <v>130</v>
      </c>
      <c r="B135" s="51" t="s">
        <v>511</v>
      </c>
      <c r="C135" s="52">
        <v>997</v>
      </c>
      <c r="D135" s="53">
        <v>297</v>
      </c>
      <c r="E135" s="53">
        <v>286.4</v>
      </c>
      <c r="F135" s="53">
        <v>10.6</v>
      </c>
      <c r="G135" s="53">
        <v>16.2</v>
      </c>
      <c r="H135" s="53" t="s">
        <v>518</v>
      </c>
      <c r="I135" s="21">
        <f aca="true" t="shared" si="2" ref="I135:I150">D135*SIN(G135*PI()/180)</f>
        <v>82.86035849365108</v>
      </c>
      <c r="J135" s="70" t="s">
        <v>519</v>
      </c>
    </row>
    <row r="136" spans="1:10" ht="13.5">
      <c r="A136" s="36"/>
      <c r="B136" s="36"/>
      <c r="C136" s="36"/>
      <c r="D136" s="53">
        <v>307</v>
      </c>
      <c r="E136" s="53">
        <v>297</v>
      </c>
      <c r="F136" s="53">
        <v>10</v>
      </c>
      <c r="G136" s="53">
        <v>15.5</v>
      </c>
      <c r="H136" s="53" t="s">
        <v>383</v>
      </c>
      <c r="I136" s="21">
        <f t="shared" si="2"/>
        <v>82.04218145602485</v>
      </c>
      <c r="J136" s="71" t="s">
        <v>520</v>
      </c>
    </row>
    <row r="137" spans="1:10" ht="13.5">
      <c r="A137" s="51">
        <v>131</v>
      </c>
      <c r="B137" s="51" t="s">
        <v>511</v>
      </c>
      <c r="C137" s="52" t="s">
        <v>521</v>
      </c>
      <c r="D137" s="53">
        <v>309</v>
      </c>
      <c r="E137" s="53">
        <v>297</v>
      </c>
      <c r="F137" s="53">
        <v>12</v>
      </c>
      <c r="G137" s="53">
        <v>17</v>
      </c>
      <c r="H137" s="53" t="s">
        <v>522</v>
      </c>
      <c r="I137" s="21">
        <f t="shared" si="2"/>
        <v>90.34285675932566</v>
      </c>
      <c r="J137" s="72" t="s">
        <v>523</v>
      </c>
    </row>
    <row r="138" spans="1:10" ht="13.5">
      <c r="A138" s="54"/>
      <c r="B138" s="54"/>
      <c r="C138" s="55"/>
      <c r="D138" s="56">
        <v>308</v>
      </c>
      <c r="E138" s="53">
        <v>297</v>
      </c>
      <c r="F138" s="53">
        <v>11</v>
      </c>
      <c r="G138" s="53">
        <v>16.1</v>
      </c>
      <c r="H138" s="57" t="s">
        <v>197</v>
      </c>
      <c r="I138" s="21">
        <f t="shared" si="2"/>
        <v>85.41291321713237</v>
      </c>
      <c r="J138" s="73"/>
    </row>
    <row r="139" spans="1:10" ht="13.5">
      <c r="A139" s="58">
        <v>132</v>
      </c>
      <c r="B139" s="58" t="s">
        <v>524</v>
      </c>
      <c r="C139" s="59" t="s">
        <v>525</v>
      </c>
      <c r="D139" s="60">
        <v>315</v>
      </c>
      <c r="E139" s="53">
        <v>302</v>
      </c>
      <c r="F139" s="58">
        <v>13</v>
      </c>
      <c r="G139" s="58">
        <v>17.3</v>
      </c>
      <c r="H139" s="57" t="s">
        <v>212</v>
      </c>
      <c r="I139" s="21">
        <f t="shared" si="2"/>
        <v>93.67308533450257</v>
      </c>
      <c r="J139" s="74" t="s">
        <v>526</v>
      </c>
    </row>
    <row r="140" spans="1:10" ht="13.5">
      <c r="A140" s="10">
        <v>133</v>
      </c>
      <c r="B140" s="10" t="s">
        <v>527</v>
      </c>
      <c r="C140" s="10" t="s">
        <v>528</v>
      </c>
      <c r="D140" s="61">
        <v>228</v>
      </c>
      <c r="E140" s="12">
        <v>212</v>
      </c>
      <c r="F140" s="12">
        <v>16</v>
      </c>
      <c r="G140" s="50">
        <v>22.7</v>
      </c>
      <c r="H140" s="11" t="s">
        <v>200</v>
      </c>
      <c r="I140" s="21">
        <f t="shared" si="2"/>
        <v>87.98657764994464</v>
      </c>
      <c r="J140" s="27" t="s">
        <v>529</v>
      </c>
    </row>
    <row r="141" spans="1:10" ht="13.5">
      <c r="A141" s="58">
        <v>134</v>
      </c>
      <c r="B141" s="10" t="s">
        <v>530</v>
      </c>
      <c r="C141" s="10" t="s">
        <v>531</v>
      </c>
      <c r="D141" s="62">
        <v>223</v>
      </c>
      <c r="E141" s="10">
        <v>209.5</v>
      </c>
      <c r="F141" s="10">
        <v>13.5</v>
      </c>
      <c r="G141" s="50">
        <v>20.5</v>
      </c>
      <c r="H141" s="11" t="s">
        <v>532</v>
      </c>
      <c r="I141" s="21">
        <f t="shared" si="2"/>
        <v>78.09624602086123</v>
      </c>
      <c r="J141" s="27" t="s">
        <v>533</v>
      </c>
    </row>
    <row r="142" spans="1:10" ht="13.5">
      <c r="A142" s="10">
        <v>135</v>
      </c>
      <c r="B142" s="10" t="s">
        <v>530</v>
      </c>
      <c r="C142" s="10" t="s">
        <v>534</v>
      </c>
      <c r="D142" s="62">
        <v>304</v>
      </c>
      <c r="E142" s="10">
        <v>285.75</v>
      </c>
      <c r="F142" s="10">
        <v>18.25</v>
      </c>
      <c r="G142" s="50">
        <v>21</v>
      </c>
      <c r="H142" s="11" t="s">
        <v>535</v>
      </c>
      <c r="I142" s="21">
        <f t="shared" si="2"/>
        <v>108.94385666177128</v>
      </c>
      <c r="J142" s="27" t="s">
        <v>536</v>
      </c>
    </row>
    <row r="143" spans="1:10" ht="13.5">
      <c r="A143" s="58">
        <v>136</v>
      </c>
      <c r="B143" s="10" t="s">
        <v>537</v>
      </c>
      <c r="C143" s="10" t="s">
        <v>538</v>
      </c>
      <c r="D143" s="12">
        <v>227</v>
      </c>
      <c r="E143" s="12">
        <v>208</v>
      </c>
      <c r="F143" s="12">
        <v>19</v>
      </c>
      <c r="G143" s="12">
        <v>25</v>
      </c>
      <c r="H143" s="12" t="s">
        <v>539</v>
      </c>
      <c r="I143" s="21">
        <f t="shared" si="2"/>
        <v>95.93434541513878</v>
      </c>
      <c r="J143" s="27" t="s">
        <v>540</v>
      </c>
    </row>
    <row r="144" spans="1:10" ht="13.5">
      <c r="A144" s="10">
        <v>137</v>
      </c>
      <c r="B144" s="10" t="s">
        <v>537</v>
      </c>
      <c r="C144" s="10" t="s">
        <v>541</v>
      </c>
      <c r="D144" s="12"/>
      <c r="E144" s="12"/>
      <c r="F144" s="12"/>
      <c r="G144" s="12"/>
      <c r="H144" s="12"/>
      <c r="I144" s="21">
        <f t="shared" si="2"/>
        <v>0</v>
      </c>
      <c r="J144" s="27" t="s">
        <v>542</v>
      </c>
    </row>
    <row r="145" spans="1:10" ht="13.5">
      <c r="A145" s="58">
        <v>138</v>
      </c>
      <c r="B145" s="10" t="s">
        <v>537</v>
      </c>
      <c r="C145" s="10" t="s">
        <v>543</v>
      </c>
      <c r="D145" s="63">
        <v>225.425</v>
      </c>
      <c r="E145" s="42">
        <v>200.025</v>
      </c>
      <c r="F145" s="12">
        <v>25.4</v>
      </c>
      <c r="G145" s="12">
        <v>24.5</v>
      </c>
      <c r="H145" s="12"/>
      <c r="I145" s="21">
        <f t="shared" si="2"/>
        <v>93.48222422578269</v>
      </c>
      <c r="J145" s="27" t="s">
        <v>544</v>
      </c>
    </row>
    <row r="146" spans="1:10" ht="13.5">
      <c r="A146" s="10">
        <v>139</v>
      </c>
      <c r="B146" s="10" t="s">
        <v>545</v>
      </c>
      <c r="C146" s="10" t="s">
        <v>546</v>
      </c>
      <c r="D146" s="10">
        <v>235</v>
      </c>
      <c r="E146" s="10">
        <v>217.362</v>
      </c>
      <c r="F146" s="12">
        <v>17.638</v>
      </c>
      <c r="G146" s="12" t="s">
        <v>547</v>
      </c>
      <c r="H146" s="12" t="s">
        <v>548</v>
      </c>
      <c r="I146" s="21" t="e">
        <f t="shared" si="2"/>
        <v>#VALUE!</v>
      </c>
      <c r="J146" s="7" t="s">
        <v>549</v>
      </c>
    </row>
    <row r="147" spans="1:10" ht="13.5">
      <c r="A147" s="58">
        <v>140</v>
      </c>
      <c r="B147" s="10" t="s">
        <v>545</v>
      </c>
      <c r="C147" s="10" t="s">
        <v>550</v>
      </c>
      <c r="D147" s="62">
        <v>233.4</v>
      </c>
      <c r="E147" s="10">
        <v>215.9</v>
      </c>
      <c r="F147" s="10">
        <v>17.5</v>
      </c>
      <c r="G147" s="12">
        <v>23.4</v>
      </c>
      <c r="H147" s="12" t="s">
        <v>551</v>
      </c>
      <c r="I147" s="21">
        <f t="shared" si="2"/>
        <v>92.69431767415779</v>
      </c>
      <c r="J147" s="7" t="s">
        <v>552</v>
      </c>
    </row>
    <row r="148" spans="1:10" ht="13.5">
      <c r="A148" s="10">
        <v>141</v>
      </c>
      <c r="B148" s="10" t="s">
        <v>545</v>
      </c>
      <c r="C148" s="10" t="s">
        <v>553</v>
      </c>
      <c r="D148" s="64">
        <v>245.3</v>
      </c>
      <c r="E148" s="12">
        <v>228.6</v>
      </c>
      <c r="F148" s="12">
        <v>16.7</v>
      </c>
      <c r="G148" s="12">
        <v>22.3</v>
      </c>
      <c r="H148" s="11" t="s">
        <v>551</v>
      </c>
      <c r="I148" s="21">
        <f t="shared" si="2"/>
        <v>93.08059593246495</v>
      </c>
      <c r="J148" s="7" t="s">
        <v>554</v>
      </c>
    </row>
    <row r="149" spans="1:10" ht="13.5">
      <c r="A149" s="58">
        <v>142</v>
      </c>
      <c r="B149" s="10" t="s">
        <v>555</v>
      </c>
      <c r="C149" s="10" t="s">
        <v>556</v>
      </c>
      <c r="D149" s="61">
        <v>320</v>
      </c>
      <c r="E149" s="12">
        <v>309</v>
      </c>
      <c r="F149" s="12">
        <v>11</v>
      </c>
      <c r="G149" s="12">
        <v>16</v>
      </c>
      <c r="H149" s="11" t="s">
        <v>321</v>
      </c>
      <c r="I149" s="21">
        <f t="shared" si="2"/>
        <v>88.20395386143973</v>
      </c>
      <c r="J149" s="7" t="s">
        <v>557</v>
      </c>
    </row>
    <row r="150" spans="1:10" s="1" customFormat="1" ht="13.5">
      <c r="A150" s="51">
        <v>143</v>
      </c>
      <c r="B150" s="51" t="s">
        <v>555</v>
      </c>
      <c r="C150" s="51">
        <v>108</v>
      </c>
      <c r="D150" s="62">
        <v>279.5</v>
      </c>
      <c r="E150" s="8">
        <v>270</v>
      </c>
      <c r="F150" s="10">
        <v>9.5</v>
      </c>
      <c r="G150" s="12">
        <v>16</v>
      </c>
      <c r="H150" s="11" t="s">
        <v>558</v>
      </c>
      <c r="I150" s="21">
        <f t="shared" si="2"/>
        <v>77.04064095085127</v>
      </c>
      <c r="J150" s="75" t="s">
        <v>559</v>
      </c>
    </row>
    <row r="151" spans="1:10" ht="13.5">
      <c r="A151" s="10">
        <v>144</v>
      </c>
      <c r="B151" s="10" t="s">
        <v>555</v>
      </c>
      <c r="C151" s="10">
        <v>212</v>
      </c>
      <c r="D151" s="61"/>
      <c r="E151" s="12">
        <v>211.1</v>
      </c>
      <c r="F151" s="12"/>
      <c r="G151" s="50"/>
      <c r="H151" s="11"/>
      <c r="I151" s="21">
        <f aca="true" t="shared" si="3" ref="I151:I196">D151*SIN(G151*PI()/180)</f>
        <v>0</v>
      </c>
      <c r="J151" s="76"/>
    </row>
    <row r="152" spans="1:10" ht="13.5">
      <c r="A152" s="10">
        <v>145</v>
      </c>
      <c r="B152" s="10" t="s">
        <v>555</v>
      </c>
      <c r="C152" s="10">
        <v>216</v>
      </c>
      <c r="D152" s="61"/>
      <c r="E152" s="12">
        <v>268.7</v>
      </c>
      <c r="F152" s="12"/>
      <c r="G152" s="50"/>
      <c r="H152" s="11"/>
      <c r="I152" s="21">
        <f t="shared" si="3"/>
        <v>0</v>
      </c>
      <c r="J152" s="77"/>
    </row>
    <row r="153" spans="1:10" ht="13.5">
      <c r="A153" s="10">
        <v>146</v>
      </c>
      <c r="B153" s="10" t="s">
        <v>560</v>
      </c>
      <c r="C153" s="10" t="s">
        <v>561</v>
      </c>
      <c r="D153" s="10">
        <v>228.6</v>
      </c>
      <c r="E153" s="10">
        <v>212.85</v>
      </c>
      <c r="F153" s="10">
        <v>15.75</v>
      </c>
      <c r="G153" s="8">
        <v>23</v>
      </c>
      <c r="H153" s="12" t="s">
        <v>562</v>
      </c>
      <c r="I153" s="21">
        <f t="shared" si="3"/>
        <v>89.32113597264797</v>
      </c>
      <c r="J153" s="7" t="s">
        <v>563</v>
      </c>
    </row>
    <row r="154" spans="1:10" ht="13.5">
      <c r="A154" s="10">
        <v>147</v>
      </c>
      <c r="B154" s="10" t="s">
        <v>560</v>
      </c>
      <c r="C154" s="10" t="s">
        <v>564</v>
      </c>
      <c r="D154" s="10">
        <v>243.8</v>
      </c>
      <c r="E154" s="10">
        <v>226</v>
      </c>
      <c r="F154" s="10">
        <v>17.8</v>
      </c>
      <c r="G154" s="8">
        <v>23</v>
      </c>
      <c r="H154" s="12" t="s">
        <v>565</v>
      </c>
      <c r="I154" s="21">
        <f t="shared" si="3"/>
        <v>95.26024912568494</v>
      </c>
      <c r="J154" s="27" t="s">
        <v>566</v>
      </c>
    </row>
    <row r="155" spans="1:10" ht="13.5">
      <c r="A155" s="10">
        <v>148</v>
      </c>
      <c r="B155" s="10" t="s">
        <v>567</v>
      </c>
      <c r="C155" s="10" t="s">
        <v>568</v>
      </c>
      <c r="D155" s="12">
        <v>252</v>
      </c>
      <c r="E155" s="10">
        <v>236</v>
      </c>
      <c r="F155" s="12">
        <v>16</v>
      </c>
      <c r="G155" s="12">
        <v>21.5</v>
      </c>
      <c r="H155" s="12" t="s">
        <v>569</v>
      </c>
      <c r="I155" s="21">
        <f t="shared" si="3"/>
        <v>92.35830913452291</v>
      </c>
      <c r="J155" s="27" t="s">
        <v>570</v>
      </c>
    </row>
    <row r="156" spans="1:10" ht="13.5">
      <c r="A156" s="10">
        <v>149</v>
      </c>
      <c r="B156" s="10" t="s">
        <v>567</v>
      </c>
      <c r="C156" s="10" t="s">
        <v>571</v>
      </c>
      <c r="D156" s="12">
        <v>228.6</v>
      </c>
      <c r="E156" s="10">
        <v>210.6</v>
      </c>
      <c r="F156" s="8">
        <v>18</v>
      </c>
      <c r="G156" s="12">
        <v>24</v>
      </c>
      <c r="H156" s="12" t="s">
        <v>551</v>
      </c>
      <c r="I156" s="21">
        <f t="shared" si="3"/>
        <v>92.97999660712792</v>
      </c>
      <c r="J156" s="27" t="s">
        <v>572</v>
      </c>
    </row>
    <row r="157" spans="1:10" ht="13.5">
      <c r="A157" s="10">
        <v>150</v>
      </c>
      <c r="B157" s="10" t="s">
        <v>573</v>
      </c>
      <c r="C157" s="10" t="s">
        <v>574</v>
      </c>
      <c r="D157" s="10">
        <v>238.5</v>
      </c>
      <c r="E157" s="10">
        <v>222</v>
      </c>
      <c r="F157" s="10">
        <v>16.5</v>
      </c>
      <c r="G157" s="10">
        <v>22.6</v>
      </c>
      <c r="H157" s="11" t="s">
        <v>575</v>
      </c>
      <c r="I157" s="21">
        <f t="shared" si="3"/>
        <v>91.65443445436318</v>
      </c>
      <c r="J157" s="27" t="s">
        <v>576</v>
      </c>
    </row>
    <row r="158" spans="1:10" ht="13.5">
      <c r="A158" s="10">
        <v>151</v>
      </c>
      <c r="B158" s="10" t="s">
        <v>577</v>
      </c>
      <c r="C158" s="10" t="s">
        <v>578</v>
      </c>
      <c r="D158" s="12">
        <v>254</v>
      </c>
      <c r="E158" s="12">
        <v>238</v>
      </c>
      <c r="F158" s="12">
        <v>16</v>
      </c>
      <c r="G158" s="12">
        <v>21.5</v>
      </c>
      <c r="H158" s="11" t="s">
        <v>579</v>
      </c>
      <c r="I158" s="21">
        <f t="shared" si="3"/>
        <v>93.0913115879715</v>
      </c>
      <c r="J158" s="27" t="s">
        <v>580</v>
      </c>
    </row>
    <row r="159" spans="1:10" ht="13.5">
      <c r="A159" s="10">
        <v>152</v>
      </c>
      <c r="B159" s="10" t="s">
        <v>581</v>
      </c>
      <c r="C159" s="10" t="s">
        <v>582</v>
      </c>
      <c r="D159" s="10">
        <v>237</v>
      </c>
      <c r="E159" s="10">
        <v>222.641</v>
      </c>
      <c r="F159" s="12">
        <v>14.359</v>
      </c>
      <c r="G159" s="12">
        <v>21.017</v>
      </c>
      <c r="H159" s="15" t="s">
        <v>583</v>
      </c>
      <c r="I159" s="21">
        <f t="shared" si="3"/>
        <v>84.99884903936385</v>
      </c>
      <c r="J159" s="27" t="s">
        <v>584</v>
      </c>
    </row>
    <row r="160" spans="1:10" ht="13.5">
      <c r="A160" s="10">
        <v>153</v>
      </c>
      <c r="B160" s="10" t="s">
        <v>585</v>
      </c>
      <c r="C160" s="10" t="s">
        <v>586</v>
      </c>
      <c r="D160" s="10">
        <v>240</v>
      </c>
      <c r="E160" s="10" t="s">
        <v>587</v>
      </c>
      <c r="F160" s="10" t="s">
        <v>588</v>
      </c>
      <c r="G160" s="65">
        <v>21.67926075304446</v>
      </c>
      <c r="H160" s="15" t="s">
        <v>589</v>
      </c>
      <c r="I160" s="21">
        <f t="shared" si="3"/>
        <v>88.6585</v>
      </c>
      <c r="J160" s="27" t="s">
        <v>590</v>
      </c>
    </row>
    <row r="161" spans="1:10" ht="13.5">
      <c r="A161" s="10">
        <v>154</v>
      </c>
      <c r="B161" s="10" t="s">
        <v>591</v>
      </c>
      <c r="C161" s="10" t="s">
        <v>592</v>
      </c>
      <c r="D161" s="10">
        <v>229</v>
      </c>
      <c r="E161" s="10">
        <v>210.844</v>
      </c>
      <c r="F161" s="10">
        <v>18.156</v>
      </c>
      <c r="G161" s="10">
        <v>24.102</v>
      </c>
      <c r="H161" s="11" t="s">
        <v>212</v>
      </c>
      <c r="I161" s="21">
        <f t="shared" si="3"/>
        <v>93.51497220892571</v>
      </c>
      <c r="J161" s="27" t="s">
        <v>460</v>
      </c>
    </row>
    <row r="162" spans="1:10" ht="13.5">
      <c r="A162" s="10">
        <v>155</v>
      </c>
      <c r="B162" s="10" t="s">
        <v>593</v>
      </c>
      <c r="C162" s="10" t="s">
        <v>594</v>
      </c>
      <c r="D162" s="12">
        <v>315</v>
      </c>
      <c r="E162" s="12">
        <v>299.4</v>
      </c>
      <c r="F162" s="12">
        <v>15.6</v>
      </c>
      <c r="G162" s="12">
        <v>19.41</v>
      </c>
      <c r="H162" s="11" t="s">
        <v>595</v>
      </c>
      <c r="I162" s="21">
        <f t="shared" si="3"/>
        <v>104.6826113235116</v>
      </c>
      <c r="J162" s="27" t="s">
        <v>596</v>
      </c>
    </row>
    <row r="163" spans="1:10" ht="13.5">
      <c r="A163" s="10">
        <v>156</v>
      </c>
      <c r="B163" s="10" t="s">
        <v>593</v>
      </c>
      <c r="C163" s="10" t="s">
        <v>597</v>
      </c>
      <c r="D163" s="12">
        <v>277</v>
      </c>
      <c r="E163" s="12">
        <v>262</v>
      </c>
      <c r="F163" s="12">
        <v>15</v>
      </c>
      <c r="G163" s="12">
        <v>19.7</v>
      </c>
      <c r="H163" s="11" t="s">
        <v>598</v>
      </c>
      <c r="I163" s="21">
        <f t="shared" si="3"/>
        <v>93.37538658319373</v>
      </c>
      <c r="J163" s="27" t="s">
        <v>599</v>
      </c>
    </row>
    <row r="164" spans="1:10" ht="13.5">
      <c r="A164" s="10">
        <v>157</v>
      </c>
      <c r="B164" s="10" t="s">
        <v>593</v>
      </c>
      <c r="C164" s="10" t="s">
        <v>600</v>
      </c>
      <c r="D164" s="12">
        <v>265</v>
      </c>
      <c r="E164" s="12">
        <v>250</v>
      </c>
      <c r="F164" s="12">
        <v>15</v>
      </c>
      <c r="G164" s="12">
        <v>20</v>
      </c>
      <c r="H164" s="11" t="s">
        <v>601</v>
      </c>
      <c r="I164" s="21">
        <f t="shared" si="3"/>
        <v>90.63533798130221</v>
      </c>
      <c r="J164" s="27" t="s">
        <v>602</v>
      </c>
    </row>
    <row r="165" spans="1:10" ht="13.5">
      <c r="A165" s="10">
        <v>158</v>
      </c>
      <c r="B165" s="10" t="s">
        <v>593</v>
      </c>
      <c r="C165" s="10" t="s">
        <v>603</v>
      </c>
      <c r="D165" s="12">
        <v>238</v>
      </c>
      <c r="E165" s="12">
        <v>223</v>
      </c>
      <c r="F165" s="12">
        <v>15</v>
      </c>
      <c r="G165" s="12">
        <v>20.9</v>
      </c>
      <c r="H165" s="11" t="s">
        <v>604</v>
      </c>
      <c r="I165" s="21">
        <f t="shared" si="3"/>
        <v>84.90364383807079</v>
      </c>
      <c r="J165" s="27" t="s">
        <v>605</v>
      </c>
    </row>
    <row r="166" spans="1:10" ht="15" customHeight="1">
      <c r="A166" s="10">
        <v>159</v>
      </c>
      <c r="B166" s="12" t="s">
        <v>606</v>
      </c>
      <c r="C166" s="12" t="s">
        <v>607</v>
      </c>
      <c r="D166" s="12">
        <v>228</v>
      </c>
      <c r="E166" s="12">
        <v>215.3</v>
      </c>
      <c r="F166" s="12">
        <v>12.7</v>
      </c>
      <c r="G166" s="12">
        <v>23</v>
      </c>
      <c r="H166" s="11" t="s">
        <v>608</v>
      </c>
      <c r="I166" s="21">
        <f t="shared" si="3"/>
        <v>89.0866972955544</v>
      </c>
      <c r="J166" s="78"/>
    </row>
    <row r="167" spans="1:10" ht="13.5">
      <c r="A167" s="10">
        <v>160</v>
      </c>
      <c r="B167" s="12" t="s">
        <v>606</v>
      </c>
      <c r="C167" s="12" t="s">
        <v>609</v>
      </c>
      <c r="D167" s="12">
        <v>305</v>
      </c>
      <c r="E167" s="12">
        <v>292.3</v>
      </c>
      <c r="F167" s="12">
        <v>12.7</v>
      </c>
      <c r="G167" s="12">
        <v>23</v>
      </c>
      <c r="H167" s="11" t="s">
        <v>610</v>
      </c>
      <c r="I167" s="21">
        <f t="shared" si="3"/>
        <v>119.17299418922849</v>
      </c>
      <c r="J167" s="78"/>
    </row>
    <row r="168" spans="1:10" ht="13.5">
      <c r="A168" s="10">
        <v>161</v>
      </c>
      <c r="B168" s="10" t="s">
        <v>606</v>
      </c>
      <c r="C168" s="10" t="s">
        <v>611</v>
      </c>
      <c r="D168" s="10">
        <v>228.6</v>
      </c>
      <c r="E168" s="10">
        <v>215.9</v>
      </c>
      <c r="F168" s="10">
        <v>12.7</v>
      </c>
      <c r="G168" s="10">
        <v>19.7</v>
      </c>
      <c r="H168" s="10" t="s">
        <v>612</v>
      </c>
      <c r="I168" s="21">
        <f t="shared" si="3"/>
        <v>77.05997607551656</v>
      </c>
      <c r="J168" s="27" t="s">
        <v>613</v>
      </c>
    </row>
    <row r="169" spans="1:10" ht="13.5">
      <c r="A169" s="10">
        <v>162</v>
      </c>
      <c r="B169" s="10" t="s">
        <v>614</v>
      </c>
      <c r="C169" s="10" t="s">
        <v>615</v>
      </c>
      <c r="D169" s="10">
        <v>227.7</v>
      </c>
      <c r="E169" s="10">
        <v>215</v>
      </c>
      <c r="F169" s="10">
        <v>12.7</v>
      </c>
      <c r="G169" s="12">
        <v>20</v>
      </c>
      <c r="H169" s="10" t="s">
        <v>616</v>
      </c>
      <c r="I169" s="21">
        <f t="shared" si="3"/>
        <v>77.87798663525476</v>
      </c>
      <c r="J169" s="27" t="s">
        <v>617</v>
      </c>
    </row>
    <row r="170" spans="1:10" ht="13.5">
      <c r="A170" s="10">
        <v>163</v>
      </c>
      <c r="B170" s="10" t="s">
        <v>618</v>
      </c>
      <c r="C170" s="10" t="s">
        <v>619</v>
      </c>
      <c r="D170" s="10">
        <v>230</v>
      </c>
      <c r="E170" s="10">
        <v>212</v>
      </c>
      <c r="F170" s="10">
        <v>18</v>
      </c>
      <c r="G170" s="8">
        <v>24</v>
      </c>
      <c r="H170" s="15" t="s">
        <v>620</v>
      </c>
      <c r="I170" s="21">
        <f t="shared" si="3"/>
        <v>93.54942790743404</v>
      </c>
      <c r="J170" s="27" t="s">
        <v>621</v>
      </c>
    </row>
    <row r="171" spans="1:10" ht="13.5">
      <c r="A171" s="10">
        <v>164</v>
      </c>
      <c r="B171" s="10" t="s">
        <v>618</v>
      </c>
      <c r="C171" s="10" t="s">
        <v>622</v>
      </c>
      <c r="D171" s="10">
        <v>280</v>
      </c>
      <c r="E171" s="10" t="s">
        <v>623</v>
      </c>
      <c r="F171" s="10">
        <v>16</v>
      </c>
      <c r="G171" s="10">
        <v>19.5</v>
      </c>
      <c r="H171" s="15" t="s">
        <v>624</v>
      </c>
      <c r="I171" s="21">
        <f t="shared" si="3"/>
        <v>93.46592058545585</v>
      </c>
      <c r="J171" s="27" t="s">
        <v>625</v>
      </c>
    </row>
    <row r="172" spans="1:10" ht="13.5">
      <c r="A172" s="10">
        <v>165</v>
      </c>
      <c r="B172" s="10" t="s">
        <v>626</v>
      </c>
      <c r="C172" s="10" t="s">
        <v>627</v>
      </c>
      <c r="D172" s="10">
        <v>227</v>
      </c>
      <c r="E172" s="10">
        <v>210</v>
      </c>
      <c r="F172" s="10">
        <v>17</v>
      </c>
      <c r="G172" s="8">
        <v>23.2</v>
      </c>
      <c r="H172" s="15" t="s">
        <v>628</v>
      </c>
      <c r="I172" s="21">
        <f t="shared" si="3"/>
        <v>89.4248134771459</v>
      </c>
      <c r="J172" s="27" t="s">
        <v>629</v>
      </c>
    </row>
    <row r="173" spans="1:10" ht="13.5">
      <c r="A173" s="10">
        <v>166</v>
      </c>
      <c r="B173" s="10" t="s">
        <v>630</v>
      </c>
      <c r="C173" s="10" t="s">
        <v>631</v>
      </c>
      <c r="D173" s="8">
        <v>229</v>
      </c>
      <c r="E173" s="8">
        <v>211</v>
      </c>
      <c r="F173" s="8">
        <v>18</v>
      </c>
      <c r="G173" s="8">
        <v>24</v>
      </c>
      <c r="H173" s="15" t="s">
        <v>212</v>
      </c>
      <c r="I173" s="21">
        <f t="shared" si="3"/>
        <v>93.14269126435823</v>
      </c>
      <c r="J173" s="27" t="s">
        <v>632</v>
      </c>
    </row>
    <row r="174" spans="1:10" ht="13.5">
      <c r="A174" s="10">
        <v>167</v>
      </c>
      <c r="B174" s="10" t="s">
        <v>633</v>
      </c>
      <c r="C174" s="10" t="s">
        <v>634</v>
      </c>
      <c r="D174" s="8">
        <v>228</v>
      </c>
      <c r="E174" s="8">
        <v>210.7</v>
      </c>
      <c r="F174" s="8">
        <v>17.3</v>
      </c>
      <c r="G174" s="50">
        <v>23.5</v>
      </c>
      <c r="H174" s="11" t="s">
        <v>635</v>
      </c>
      <c r="I174" s="21">
        <f t="shared" si="3"/>
        <v>90.91478771495613</v>
      </c>
      <c r="J174" s="27"/>
    </row>
    <row r="175" spans="1:10" ht="13.5">
      <c r="A175" s="10">
        <v>168</v>
      </c>
      <c r="B175" s="10" t="s">
        <v>636</v>
      </c>
      <c r="C175" s="10" t="s">
        <v>637</v>
      </c>
      <c r="D175" s="10">
        <v>241.3</v>
      </c>
      <c r="E175" s="10">
        <v>224.155</v>
      </c>
      <c r="F175" s="10">
        <v>17.145</v>
      </c>
      <c r="G175" s="12">
        <v>22.8</v>
      </c>
      <c r="H175" s="11" t="s">
        <v>212</v>
      </c>
      <c r="I175" s="21">
        <f t="shared" si="3"/>
        <v>93.50751101089246</v>
      </c>
      <c r="J175" s="27" t="s">
        <v>638</v>
      </c>
    </row>
    <row r="176" spans="1:10" ht="13.5">
      <c r="A176" s="10">
        <v>169</v>
      </c>
      <c r="B176" s="10" t="s">
        <v>639</v>
      </c>
      <c r="C176" s="10" t="s">
        <v>640</v>
      </c>
      <c r="D176" s="62">
        <v>227.48</v>
      </c>
      <c r="E176" s="10">
        <v>210.7</v>
      </c>
      <c r="F176" s="10">
        <v>16.78</v>
      </c>
      <c r="G176" s="10">
        <v>23.6</v>
      </c>
      <c r="H176" s="11" t="s">
        <v>386</v>
      </c>
      <c r="I176" s="21">
        <f t="shared" si="3"/>
        <v>91.07139792604247</v>
      </c>
      <c r="J176" s="27" t="s">
        <v>641</v>
      </c>
    </row>
    <row r="177" spans="1:10" ht="13.5">
      <c r="A177" s="10">
        <v>170</v>
      </c>
      <c r="B177" s="10" t="s">
        <v>639</v>
      </c>
      <c r="C177" s="10" t="s">
        <v>642</v>
      </c>
      <c r="D177" s="66">
        <v>304.8</v>
      </c>
      <c r="E177" s="10">
        <v>284.8</v>
      </c>
      <c r="F177" s="10">
        <v>20</v>
      </c>
      <c r="G177" s="10">
        <v>21.967</v>
      </c>
      <c r="H177" s="67" t="s">
        <v>643</v>
      </c>
      <c r="I177" s="21">
        <f t="shared" si="3"/>
        <v>114.0173015806426</v>
      </c>
      <c r="J177" s="27" t="s">
        <v>644</v>
      </c>
    </row>
    <row r="178" spans="1:10" ht="13.5">
      <c r="A178" s="10">
        <v>171</v>
      </c>
      <c r="B178" s="10" t="s">
        <v>645</v>
      </c>
      <c r="C178" s="10" t="s">
        <v>646</v>
      </c>
      <c r="D178" s="9">
        <v>224</v>
      </c>
      <c r="E178" s="10">
        <v>209</v>
      </c>
      <c r="F178" s="8">
        <v>15</v>
      </c>
      <c r="G178" s="12">
        <v>22.023</v>
      </c>
      <c r="H178" s="68" t="s">
        <v>647</v>
      </c>
      <c r="I178" s="21">
        <f t="shared" si="3"/>
        <v>83.99524194368033</v>
      </c>
      <c r="J178" s="27" t="s">
        <v>648</v>
      </c>
    </row>
    <row r="179" spans="1:10" ht="13.5">
      <c r="A179" s="10">
        <v>172</v>
      </c>
      <c r="B179" s="10" t="s">
        <v>645</v>
      </c>
      <c r="C179" s="10" t="s">
        <v>649</v>
      </c>
      <c r="D179" s="15" t="s">
        <v>650</v>
      </c>
      <c r="E179" s="10" t="s">
        <v>651</v>
      </c>
      <c r="F179" s="10" t="s">
        <v>652</v>
      </c>
      <c r="G179" s="10" t="s">
        <v>653</v>
      </c>
      <c r="H179" s="69" t="s">
        <v>654</v>
      </c>
      <c r="I179" s="21"/>
      <c r="J179" s="27" t="s">
        <v>655</v>
      </c>
    </row>
    <row r="180" spans="1:10" ht="13.5">
      <c r="A180" s="10">
        <v>173</v>
      </c>
      <c r="B180" s="10" t="s">
        <v>645</v>
      </c>
      <c r="C180" s="10" t="s">
        <v>656</v>
      </c>
      <c r="D180" s="9">
        <v>229</v>
      </c>
      <c r="E180" s="8">
        <v>211.75</v>
      </c>
      <c r="F180" s="8">
        <v>17.25</v>
      </c>
      <c r="G180" s="12">
        <v>23.52</v>
      </c>
      <c r="H180" s="62" t="s">
        <v>657</v>
      </c>
      <c r="I180" s="21">
        <f t="shared" si="3"/>
        <v>91.38683740648759</v>
      </c>
      <c r="J180" s="27" t="s">
        <v>658</v>
      </c>
    </row>
    <row r="181" spans="1:10" ht="13.5">
      <c r="A181" s="10">
        <v>174</v>
      </c>
      <c r="B181" s="10" t="s">
        <v>659</v>
      </c>
      <c r="C181" s="10" t="s">
        <v>660</v>
      </c>
      <c r="D181" s="15">
        <v>237</v>
      </c>
      <c r="E181" s="8"/>
      <c r="F181" s="8"/>
      <c r="G181" s="12"/>
      <c r="H181" s="62"/>
      <c r="I181" s="21">
        <f t="shared" si="3"/>
        <v>0</v>
      </c>
      <c r="J181" s="27" t="s">
        <v>661</v>
      </c>
    </row>
    <row r="182" spans="1:10" ht="13.5">
      <c r="A182" s="10">
        <v>175</v>
      </c>
      <c r="B182" s="10" t="s">
        <v>662</v>
      </c>
      <c r="C182" s="10" t="s">
        <v>663</v>
      </c>
      <c r="D182" s="15">
        <v>228.4</v>
      </c>
      <c r="E182" s="10">
        <v>211.1</v>
      </c>
      <c r="F182" s="10">
        <v>17.3</v>
      </c>
      <c r="G182" s="12">
        <v>23</v>
      </c>
      <c r="H182" s="64" t="s">
        <v>664</v>
      </c>
      <c r="I182" s="21">
        <f t="shared" si="3"/>
        <v>89.24298974695012</v>
      </c>
      <c r="J182" s="27" t="s">
        <v>665</v>
      </c>
    </row>
    <row r="183" spans="1:10" ht="13.5">
      <c r="A183" s="10">
        <v>176</v>
      </c>
      <c r="B183" s="10" t="s">
        <v>662</v>
      </c>
      <c r="C183" s="10" t="s">
        <v>666</v>
      </c>
      <c r="D183" s="15">
        <v>283.421</v>
      </c>
      <c r="E183" s="10">
        <v>269.875</v>
      </c>
      <c r="F183" s="10">
        <v>13.546</v>
      </c>
      <c r="G183" s="12">
        <v>18.7</v>
      </c>
      <c r="H183" s="64" t="s">
        <v>667</v>
      </c>
      <c r="I183" s="21">
        <f t="shared" si="3"/>
        <v>90.86845440478295</v>
      </c>
      <c r="J183" s="27" t="s">
        <v>668</v>
      </c>
    </row>
    <row r="184" spans="1:10" ht="13.5">
      <c r="A184" s="10">
        <v>177</v>
      </c>
      <c r="B184" s="10" t="s">
        <v>662</v>
      </c>
      <c r="C184" s="10" t="s">
        <v>669</v>
      </c>
      <c r="D184" s="15">
        <v>228.4</v>
      </c>
      <c r="E184" s="10">
        <v>211.1</v>
      </c>
      <c r="F184" s="10">
        <v>17.3</v>
      </c>
      <c r="G184" s="10">
        <v>23</v>
      </c>
      <c r="H184" s="62" t="s">
        <v>664</v>
      </c>
      <c r="I184" s="21">
        <f t="shared" si="3"/>
        <v>89.24298974695012</v>
      </c>
      <c r="J184" s="27" t="s">
        <v>670</v>
      </c>
    </row>
    <row r="185" spans="1:10" ht="13.5">
      <c r="A185" s="10">
        <v>178</v>
      </c>
      <c r="B185" s="10" t="s">
        <v>671</v>
      </c>
      <c r="C185" s="10">
        <v>774</v>
      </c>
      <c r="D185" s="15">
        <v>229</v>
      </c>
      <c r="E185" s="10">
        <v>215.4</v>
      </c>
      <c r="F185" s="10">
        <v>13.6</v>
      </c>
      <c r="G185" s="12">
        <v>20.5</v>
      </c>
      <c r="H185" s="12" t="s">
        <v>672</v>
      </c>
      <c r="I185" s="21">
        <f t="shared" si="3"/>
        <v>80.19749030841803</v>
      </c>
      <c r="J185" s="27" t="s">
        <v>673</v>
      </c>
    </row>
    <row r="186" spans="1:10" ht="13.5">
      <c r="A186" s="10">
        <v>179</v>
      </c>
      <c r="B186" s="10" t="s">
        <v>671</v>
      </c>
      <c r="C186" s="10" t="s">
        <v>674</v>
      </c>
      <c r="D186" s="15">
        <v>228</v>
      </c>
      <c r="E186" s="8">
        <v>210</v>
      </c>
      <c r="F186" s="8">
        <v>18</v>
      </c>
      <c r="G186" s="8">
        <v>23.75</v>
      </c>
      <c r="H186" s="11" t="s">
        <v>263</v>
      </c>
      <c r="I186" s="21">
        <f t="shared" si="3"/>
        <v>91.82624528779209</v>
      </c>
      <c r="J186" s="27" t="s">
        <v>675</v>
      </c>
    </row>
    <row r="187" spans="1:10" ht="13.5">
      <c r="A187" s="10">
        <v>180</v>
      </c>
      <c r="B187" s="10" t="s">
        <v>676</v>
      </c>
      <c r="C187" s="10" t="s">
        <v>677</v>
      </c>
      <c r="D187" s="8">
        <v>230</v>
      </c>
      <c r="E187" s="8">
        <v>212</v>
      </c>
      <c r="F187" s="10">
        <v>18</v>
      </c>
      <c r="G187" s="8">
        <v>24</v>
      </c>
      <c r="H187" s="15" t="s">
        <v>620</v>
      </c>
      <c r="I187" s="21">
        <f t="shared" si="3"/>
        <v>93.54942790743404</v>
      </c>
      <c r="J187" s="27" t="s">
        <v>678</v>
      </c>
    </row>
    <row r="188" spans="1:10" ht="13.5">
      <c r="A188" s="10">
        <v>181</v>
      </c>
      <c r="B188" s="10" t="s">
        <v>676</v>
      </c>
      <c r="C188" s="10" t="s">
        <v>679</v>
      </c>
      <c r="D188" s="10">
        <v>307.4</v>
      </c>
      <c r="E188" s="10">
        <v>294.1</v>
      </c>
      <c r="F188" s="10">
        <v>13.3</v>
      </c>
      <c r="G188" s="10">
        <v>17.7</v>
      </c>
      <c r="H188" s="15" t="s">
        <v>212</v>
      </c>
      <c r="I188" s="21">
        <f t="shared" si="3"/>
        <v>93.4597629284957</v>
      </c>
      <c r="J188" s="27" t="s">
        <v>678</v>
      </c>
    </row>
    <row r="189" spans="1:10" ht="13.5">
      <c r="A189" s="10">
        <v>182</v>
      </c>
      <c r="B189" s="15" t="s">
        <v>680</v>
      </c>
      <c r="C189" s="10" t="s">
        <v>681</v>
      </c>
      <c r="D189" s="64">
        <v>230.5</v>
      </c>
      <c r="E189" s="12">
        <v>212.5</v>
      </c>
      <c r="F189" s="12">
        <v>18</v>
      </c>
      <c r="G189" s="12">
        <v>24</v>
      </c>
      <c r="H189" s="15" t="s">
        <v>620</v>
      </c>
      <c r="I189" s="21">
        <f t="shared" si="3"/>
        <v>93.75279622897193</v>
      </c>
      <c r="J189" s="27" t="s">
        <v>682</v>
      </c>
    </row>
    <row r="190" spans="1:10" ht="13.5">
      <c r="A190" s="10">
        <v>183</v>
      </c>
      <c r="B190" s="15" t="s">
        <v>683</v>
      </c>
      <c r="C190" s="10" t="s">
        <v>684</v>
      </c>
      <c r="D190" s="62">
        <v>230</v>
      </c>
      <c r="E190" s="10">
        <v>212.8</v>
      </c>
      <c r="F190" s="10">
        <v>17.2</v>
      </c>
      <c r="G190" s="10">
        <v>23.5</v>
      </c>
      <c r="H190" s="15" t="s">
        <v>685</v>
      </c>
      <c r="I190" s="21">
        <f t="shared" si="3"/>
        <v>91.71228585280663</v>
      </c>
      <c r="J190" s="27"/>
    </row>
    <row r="191" spans="1:10" ht="13.5">
      <c r="A191" s="10">
        <v>184</v>
      </c>
      <c r="B191" s="15" t="s">
        <v>686</v>
      </c>
      <c r="C191" s="10" t="s">
        <v>687</v>
      </c>
      <c r="D191" s="62">
        <v>230</v>
      </c>
      <c r="E191" s="10">
        <v>214</v>
      </c>
      <c r="F191" s="12">
        <v>16</v>
      </c>
      <c r="G191" s="10">
        <v>23.5</v>
      </c>
      <c r="H191" s="11" t="s">
        <v>270</v>
      </c>
      <c r="I191" s="21">
        <f t="shared" si="3"/>
        <v>91.71228585280663</v>
      </c>
      <c r="J191" s="27" t="s">
        <v>688</v>
      </c>
    </row>
    <row r="192" spans="1:10" ht="13.5">
      <c r="A192" s="10">
        <v>185</v>
      </c>
      <c r="B192" s="15" t="s">
        <v>686</v>
      </c>
      <c r="C192" s="10" t="s">
        <v>689</v>
      </c>
      <c r="D192" s="62">
        <v>267</v>
      </c>
      <c r="E192" s="10">
        <v>252</v>
      </c>
      <c r="F192" s="12">
        <v>15</v>
      </c>
      <c r="G192" s="10">
        <v>20</v>
      </c>
      <c r="H192" s="15" t="s">
        <v>263</v>
      </c>
      <c r="I192" s="21">
        <f t="shared" si="3"/>
        <v>91.31937826795355</v>
      </c>
      <c r="J192" s="27" t="s">
        <v>690</v>
      </c>
    </row>
    <row r="193" spans="1:10" ht="13.5">
      <c r="A193" s="10">
        <v>186</v>
      </c>
      <c r="B193" s="15" t="s">
        <v>686</v>
      </c>
      <c r="C193" s="10" t="s">
        <v>691</v>
      </c>
      <c r="D193" s="62">
        <v>300</v>
      </c>
      <c r="E193" s="10">
        <v>284</v>
      </c>
      <c r="F193" s="10">
        <v>16</v>
      </c>
      <c r="G193" s="10">
        <v>20</v>
      </c>
      <c r="H193" s="15" t="s">
        <v>692</v>
      </c>
      <c r="I193" s="21">
        <f t="shared" si="3"/>
        <v>102.60604299770061</v>
      </c>
      <c r="J193" s="27" t="s">
        <v>693</v>
      </c>
    </row>
    <row r="194" spans="1:10" ht="13.5">
      <c r="A194" s="10">
        <v>187</v>
      </c>
      <c r="B194" s="15" t="s">
        <v>694</v>
      </c>
      <c r="C194" s="10" t="s">
        <v>695</v>
      </c>
      <c r="D194" s="10">
        <v>232.2</v>
      </c>
      <c r="E194" s="10">
        <v>213.4</v>
      </c>
      <c r="F194" s="79" t="s">
        <v>696</v>
      </c>
      <c r="G194" s="12"/>
      <c r="H194" s="11"/>
      <c r="I194" s="21">
        <f t="shared" si="3"/>
        <v>0</v>
      </c>
      <c r="J194" s="27" t="s">
        <v>697</v>
      </c>
    </row>
    <row r="195" spans="1:10" ht="13.5">
      <c r="A195" s="10">
        <v>188</v>
      </c>
      <c r="B195" s="15" t="s">
        <v>698</v>
      </c>
      <c r="C195" s="10" t="s">
        <v>699</v>
      </c>
      <c r="D195" s="62">
        <v>240</v>
      </c>
      <c r="E195" s="12">
        <v>222.76</v>
      </c>
      <c r="F195" s="10">
        <v>17.24</v>
      </c>
      <c r="G195" s="10">
        <v>23</v>
      </c>
      <c r="H195" s="15" t="s">
        <v>620</v>
      </c>
      <c r="I195" s="21">
        <f t="shared" si="3"/>
        <v>93.77547083742569</v>
      </c>
      <c r="J195" s="27" t="s">
        <v>700</v>
      </c>
    </row>
    <row r="196" spans="1:10" ht="13.5">
      <c r="A196" s="10">
        <v>189</v>
      </c>
      <c r="B196" s="15" t="s">
        <v>701</v>
      </c>
      <c r="C196" s="10" t="s">
        <v>702</v>
      </c>
      <c r="D196" s="64">
        <v>224.3</v>
      </c>
      <c r="E196" s="12" t="s">
        <v>703</v>
      </c>
      <c r="F196" s="12" t="s">
        <v>704</v>
      </c>
      <c r="G196" s="12">
        <v>22</v>
      </c>
      <c r="H196" s="11"/>
      <c r="I196" s="21">
        <f t="shared" si="3"/>
        <v>84.02425890318906</v>
      </c>
      <c r="J196" s="27" t="s">
        <v>705</v>
      </c>
    </row>
    <row r="197" spans="1:10" ht="13.5">
      <c r="A197" s="10">
        <v>190</v>
      </c>
      <c r="B197" s="15" t="s">
        <v>701</v>
      </c>
      <c r="C197" s="10" t="s">
        <v>706</v>
      </c>
      <c r="D197" s="68">
        <v>228</v>
      </c>
      <c r="E197" s="10">
        <v>212</v>
      </c>
      <c r="F197" s="10">
        <v>16</v>
      </c>
      <c r="G197" s="8">
        <v>22.7</v>
      </c>
      <c r="H197" s="15" t="s">
        <v>200</v>
      </c>
      <c r="I197" s="21">
        <f aca="true" t="shared" si="4" ref="I197:I260">D197*SIN(G197*PI()/180)</f>
        <v>87.98657764994464</v>
      </c>
      <c r="J197" s="27" t="s">
        <v>707</v>
      </c>
    </row>
    <row r="198" spans="1:10" ht="13.5">
      <c r="A198" s="10">
        <v>191</v>
      </c>
      <c r="B198" s="15" t="s">
        <v>701</v>
      </c>
      <c r="C198" s="10" t="s">
        <v>708</v>
      </c>
      <c r="D198" s="68">
        <v>320</v>
      </c>
      <c r="E198" s="10">
        <v>309</v>
      </c>
      <c r="F198" s="10">
        <v>11</v>
      </c>
      <c r="G198" s="8">
        <v>15.9</v>
      </c>
      <c r="H198" s="15" t="s">
        <v>163</v>
      </c>
      <c r="I198" s="21">
        <f t="shared" si="4"/>
        <v>87.66694998157838</v>
      </c>
      <c r="J198" s="34" t="s">
        <v>709</v>
      </c>
    </row>
    <row r="199" spans="1:10" ht="13.5">
      <c r="A199" s="10">
        <v>192</v>
      </c>
      <c r="B199" s="15" t="s">
        <v>701</v>
      </c>
      <c r="C199" s="10" t="s">
        <v>710</v>
      </c>
      <c r="D199" s="68">
        <v>228</v>
      </c>
      <c r="E199" s="10">
        <v>212</v>
      </c>
      <c r="F199" s="10">
        <v>16</v>
      </c>
      <c r="G199" s="8">
        <v>22.7</v>
      </c>
      <c r="H199" s="15" t="s">
        <v>200</v>
      </c>
      <c r="I199" s="21">
        <f t="shared" si="4"/>
        <v>87.98657764994464</v>
      </c>
      <c r="J199" s="27" t="s">
        <v>711</v>
      </c>
    </row>
    <row r="200" spans="1:10" ht="15" customHeight="1">
      <c r="A200" s="10">
        <v>193</v>
      </c>
      <c r="B200" s="11" t="s">
        <v>712</v>
      </c>
      <c r="C200" s="10" t="s">
        <v>713</v>
      </c>
      <c r="D200" s="68">
        <v>228</v>
      </c>
      <c r="E200" s="10">
        <v>212</v>
      </c>
      <c r="F200" s="10">
        <v>16</v>
      </c>
      <c r="G200" s="8">
        <v>23</v>
      </c>
      <c r="H200" s="15" t="s">
        <v>325</v>
      </c>
      <c r="I200" s="21">
        <f t="shared" si="4"/>
        <v>89.0866972955544</v>
      </c>
      <c r="J200" s="27" t="s">
        <v>714</v>
      </c>
    </row>
    <row r="201" spans="1:10" ht="13.5">
      <c r="A201" s="10">
        <v>194</v>
      </c>
      <c r="B201" s="11" t="s">
        <v>712</v>
      </c>
      <c r="C201" s="10" t="s">
        <v>715</v>
      </c>
      <c r="D201" s="68">
        <v>320</v>
      </c>
      <c r="E201" s="10">
        <v>309</v>
      </c>
      <c r="F201" s="10">
        <v>11</v>
      </c>
      <c r="G201" s="8">
        <v>16</v>
      </c>
      <c r="H201" s="15" t="s">
        <v>716</v>
      </c>
      <c r="I201" s="21">
        <f t="shared" si="4"/>
        <v>88.20395386143973</v>
      </c>
      <c r="J201" s="27" t="s">
        <v>717</v>
      </c>
    </row>
    <row r="202" spans="1:10" ht="13.5">
      <c r="A202" s="10">
        <v>195</v>
      </c>
      <c r="B202" s="11" t="s">
        <v>712</v>
      </c>
      <c r="C202" s="10" t="s">
        <v>718</v>
      </c>
      <c r="D202" s="68">
        <v>229</v>
      </c>
      <c r="E202" s="8">
        <v>214</v>
      </c>
      <c r="F202" s="8">
        <v>15</v>
      </c>
      <c r="G202" s="8">
        <v>22</v>
      </c>
      <c r="H202" s="15" t="s">
        <v>260</v>
      </c>
      <c r="I202" s="21">
        <f t="shared" si="4"/>
        <v>85.78490989224385</v>
      </c>
      <c r="J202" s="27" t="s">
        <v>719</v>
      </c>
    </row>
    <row r="203" spans="1:10" ht="13.5">
      <c r="A203" s="10">
        <v>196</v>
      </c>
      <c r="B203" s="11" t="s">
        <v>712</v>
      </c>
      <c r="C203" s="10" t="s">
        <v>720</v>
      </c>
      <c r="D203" s="68">
        <v>326</v>
      </c>
      <c r="E203" s="8">
        <v>311</v>
      </c>
      <c r="F203" s="8">
        <v>15</v>
      </c>
      <c r="G203" s="8">
        <v>19</v>
      </c>
      <c r="H203" s="11" t="s">
        <v>721</v>
      </c>
      <c r="I203" s="21">
        <f t="shared" si="4"/>
        <v>106.13521835303307</v>
      </c>
      <c r="J203" s="27" t="s">
        <v>722</v>
      </c>
    </row>
    <row r="204" spans="1:10" ht="13.5">
      <c r="A204" s="10">
        <v>197</v>
      </c>
      <c r="B204" s="11" t="s">
        <v>712</v>
      </c>
      <c r="C204" s="10" t="s">
        <v>723</v>
      </c>
      <c r="D204" s="68">
        <v>229</v>
      </c>
      <c r="E204" s="8">
        <v>214</v>
      </c>
      <c r="F204" s="8">
        <v>15</v>
      </c>
      <c r="G204" s="8">
        <v>22</v>
      </c>
      <c r="H204" s="11" t="s">
        <v>260</v>
      </c>
      <c r="I204" s="21">
        <f t="shared" si="4"/>
        <v>85.78490989224385</v>
      </c>
      <c r="J204" s="27" t="s">
        <v>724</v>
      </c>
    </row>
    <row r="205" spans="1:10" ht="13.5">
      <c r="A205" s="10">
        <v>198</v>
      </c>
      <c r="B205" s="11" t="s">
        <v>712</v>
      </c>
      <c r="C205" s="10" t="s">
        <v>725</v>
      </c>
      <c r="D205" s="68">
        <v>326</v>
      </c>
      <c r="E205" s="8">
        <v>311</v>
      </c>
      <c r="F205" s="8">
        <v>15</v>
      </c>
      <c r="G205" s="8">
        <v>19</v>
      </c>
      <c r="H205" s="11" t="s">
        <v>721</v>
      </c>
      <c r="I205" s="21">
        <f t="shared" si="4"/>
        <v>106.13521835303307</v>
      </c>
      <c r="J205" s="27" t="s">
        <v>724</v>
      </c>
    </row>
    <row r="206" spans="1:10" ht="13.5">
      <c r="A206" s="10">
        <v>199</v>
      </c>
      <c r="B206" s="15" t="s">
        <v>726</v>
      </c>
      <c r="C206" s="10" t="s">
        <v>727</v>
      </c>
      <c r="D206" s="64">
        <v>273.05</v>
      </c>
      <c r="E206" s="10">
        <v>266.7</v>
      </c>
      <c r="F206" s="12">
        <v>6.35</v>
      </c>
      <c r="G206" s="10" t="s">
        <v>728</v>
      </c>
      <c r="H206" s="11"/>
      <c r="I206" s="21" t="e">
        <f t="shared" si="4"/>
        <v>#VALUE!</v>
      </c>
      <c r="J206" s="27" t="s">
        <v>729</v>
      </c>
    </row>
    <row r="207" spans="1:10" ht="13.5">
      <c r="A207" s="10">
        <v>200</v>
      </c>
      <c r="B207" s="10" t="s">
        <v>730</v>
      </c>
      <c r="C207" s="10" t="s">
        <v>731</v>
      </c>
      <c r="D207" s="62">
        <v>215.9</v>
      </c>
      <c r="E207" s="10">
        <v>203.2</v>
      </c>
      <c r="F207" s="10">
        <v>12.7</v>
      </c>
      <c r="G207" s="8">
        <v>21</v>
      </c>
      <c r="H207" s="11" t="s">
        <v>732</v>
      </c>
      <c r="I207" s="21">
        <f t="shared" si="4"/>
        <v>77.37164030683033</v>
      </c>
      <c r="J207" s="7" t="s">
        <v>733</v>
      </c>
    </row>
    <row r="208" spans="1:10" ht="13.5">
      <c r="A208" s="10">
        <v>201</v>
      </c>
      <c r="B208" s="10" t="s">
        <v>730</v>
      </c>
      <c r="C208" s="10" t="s">
        <v>734</v>
      </c>
      <c r="D208" s="12">
        <v>221</v>
      </c>
      <c r="E208" s="12">
        <v>207.5</v>
      </c>
      <c r="F208" s="12">
        <v>13.5</v>
      </c>
      <c r="G208" s="12">
        <v>21</v>
      </c>
      <c r="H208" s="11" t="s">
        <v>735</v>
      </c>
      <c r="I208" s="21">
        <f t="shared" si="4"/>
        <v>79.19931684951136</v>
      </c>
      <c r="J208" s="27" t="s">
        <v>736</v>
      </c>
    </row>
    <row r="209" spans="1:10" ht="13.5">
      <c r="A209" s="10">
        <v>202</v>
      </c>
      <c r="B209" s="10" t="s">
        <v>730</v>
      </c>
      <c r="C209" s="10" t="s">
        <v>737</v>
      </c>
      <c r="D209" s="12">
        <v>221</v>
      </c>
      <c r="E209" s="12">
        <v>203</v>
      </c>
      <c r="F209" s="12">
        <v>18</v>
      </c>
      <c r="G209" s="12">
        <v>25</v>
      </c>
      <c r="H209" s="11" t="s">
        <v>738</v>
      </c>
      <c r="I209" s="21">
        <f t="shared" si="4"/>
        <v>93.39863584469458</v>
      </c>
      <c r="J209" s="27" t="s">
        <v>739</v>
      </c>
    </row>
    <row r="210" spans="1:10" ht="13.5">
      <c r="A210" s="10">
        <v>203</v>
      </c>
      <c r="B210" s="10" t="s">
        <v>740</v>
      </c>
      <c r="C210" s="80" t="s">
        <v>741</v>
      </c>
      <c r="D210" s="12">
        <v>233</v>
      </c>
      <c r="E210" s="12">
        <v>215</v>
      </c>
      <c r="F210" s="12">
        <v>18</v>
      </c>
      <c r="G210" s="12">
        <v>23.8</v>
      </c>
      <c r="H210" s="11" t="s">
        <v>742</v>
      </c>
      <c r="I210" s="21">
        <f t="shared" si="4"/>
        <v>94.02605405010686</v>
      </c>
      <c r="J210" s="84" t="s">
        <v>743</v>
      </c>
    </row>
    <row r="211" spans="1:10" ht="13.5">
      <c r="A211" s="10">
        <v>204</v>
      </c>
      <c r="B211" s="10" t="s">
        <v>744</v>
      </c>
      <c r="C211" s="80" t="s">
        <v>745</v>
      </c>
      <c r="D211" s="10">
        <v>218.5</v>
      </c>
      <c r="E211" s="12">
        <v>199.5</v>
      </c>
      <c r="F211" s="12">
        <v>19</v>
      </c>
      <c r="G211" s="12">
        <v>25.3</v>
      </c>
      <c r="H211" s="11" t="s">
        <v>212</v>
      </c>
      <c r="I211" s="21">
        <f t="shared" si="4"/>
        <v>93.37769315010155</v>
      </c>
      <c r="J211" s="72" t="s">
        <v>746</v>
      </c>
    </row>
    <row r="212" spans="1:10" ht="13.5">
      <c r="A212" s="10">
        <v>205</v>
      </c>
      <c r="B212" s="10" t="s">
        <v>744</v>
      </c>
      <c r="C212" s="80" t="s">
        <v>747</v>
      </c>
      <c r="D212" s="10">
        <v>230</v>
      </c>
      <c r="E212" s="10">
        <v>212</v>
      </c>
      <c r="F212" s="10">
        <v>18</v>
      </c>
      <c r="G212" s="12">
        <v>24</v>
      </c>
      <c r="H212" s="11" t="s">
        <v>620</v>
      </c>
      <c r="I212" s="21">
        <f t="shared" si="4"/>
        <v>93.54942790743404</v>
      </c>
      <c r="J212" s="85"/>
    </row>
    <row r="213" spans="1:10" ht="13.5">
      <c r="A213" s="10">
        <v>206</v>
      </c>
      <c r="B213" s="10" t="s">
        <v>744</v>
      </c>
      <c r="C213" s="80" t="s">
        <v>748</v>
      </c>
      <c r="D213" s="10">
        <v>254</v>
      </c>
      <c r="E213" s="10">
        <v>238</v>
      </c>
      <c r="F213" s="10">
        <v>16</v>
      </c>
      <c r="G213" s="12">
        <v>21.5</v>
      </c>
      <c r="H213" s="11" t="s">
        <v>579</v>
      </c>
      <c r="I213" s="21">
        <f t="shared" si="4"/>
        <v>93.0913115879715</v>
      </c>
      <c r="J213" s="73"/>
    </row>
    <row r="214" spans="1:10" ht="13.5">
      <c r="A214" s="10">
        <v>207</v>
      </c>
      <c r="B214" s="10" t="s">
        <v>744</v>
      </c>
      <c r="C214" s="80" t="s">
        <v>749</v>
      </c>
      <c r="D214" s="62">
        <v>305</v>
      </c>
      <c r="E214" s="12">
        <v>291.8</v>
      </c>
      <c r="F214" s="10">
        <v>13.2</v>
      </c>
      <c r="G214" s="12">
        <v>17.8</v>
      </c>
      <c r="H214" s="11" t="s">
        <v>620</v>
      </c>
      <c r="I214" s="21">
        <f t="shared" si="4"/>
        <v>93.23706801374722</v>
      </c>
      <c r="J214" s="84" t="s">
        <v>750</v>
      </c>
    </row>
    <row r="215" spans="1:10" ht="13.5">
      <c r="A215" s="10">
        <v>208</v>
      </c>
      <c r="B215" s="10" t="s">
        <v>751</v>
      </c>
      <c r="C215" s="80" t="s">
        <v>752</v>
      </c>
      <c r="D215" s="62">
        <v>237</v>
      </c>
      <c r="E215" s="10">
        <v>222</v>
      </c>
      <c r="F215" s="10">
        <v>15</v>
      </c>
      <c r="G215" s="12">
        <v>21.63</v>
      </c>
      <c r="H215" s="12" t="s">
        <v>163</v>
      </c>
      <c r="I215" s="21">
        <f t="shared" si="4"/>
        <v>87.36088569118289</v>
      </c>
      <c r="J215" s="86" t="s">
        <v>753</v>
      </c>
    </row>
    <row r="216" spans="1:10" ht="13.5">
      <c r="A216" s="10">
        <v>209</v>
      </c>
      <c r="B216" s="10" t="s">
        <v>754</v>
      </c>
      <c r="C216" s="80" t="s">
        <v>755</v>
      </c>
      <c r="D216" s="62">
        <v>223.04375</v>
      </c>
      <c r="E216" s="10">
        <v>209.55</v>
      </c>
      <c r="F216" s="10">
        <v>13.49375</v>
      </c>
      <c r="G216" s="12">
        <v>21</v>
      </c>
      <c r="H216" s="12" t="s">
        <v>756</v>
      </c>
      <c r="I216" s="21">
        <f t="shared" si="4"/>
        <v>79.93173134639456</v>
      </c>
      <c r="J216" s="84" t="s">
        <v>757</v>
      </c>
    </row>
    <row r="217" spans="1:10" ht="13.5">
      <c r="A217" s="10">
        <v>210</v>
      </c>
      <c r="B217" s="4" t="s">
        <v>754</v>
      </c>
      <c r="C217" s="80" t="s">
        <v>758</v>
      </c>
      <c r="D217" s="62">
        <v>298.45</v>
      </c>
      <c r="E217" s="10">
        <v>279.4</v>
      </c>
      <c r="F217" s="10">
        <v>19.05</v>
      </c>
      <c r="G217" s="12">
        <v>22</v>
      </c>
      <c r="H217" s="12" t="s">
        <v>759</v>
      </c>
      <c r="I217" s="21">
        <f t="shared" si="4"/>
        <v>111.80133780497894</v>
      </c>
      <c r="J217" s="87" t="s">
        <v>760</v>
      </c>
    </row>
    <row r="218" spans="1:10" ht="13.5">
      <c r="A218" s="10">
        <v>211</v>
      </c>
      <c r="B218" s="10" t="s">
        <v>761</v>
      </c>
      <c r="C218" s="10" t="s">
        <v>762</v>
      </c>
      <c r="D218" s="10">
        <v>240</v>
      </c>
      <c r="E218" s="10">
        <v>222.5</v>
      </c>
      <c r="F218" s="10">
        <v>17.5</v>
      </c>
      <c r="G218" s="10">
        <v>22.9</v>
      </c>
      <c r="H218" s="10" t="s">
        <v>763</v>
      </c>
      <c r="I218" s="21">
        <f t="shared" si="4"/>
        <v>93.3897480336495</v>
      </c>
      <c r="J218" s="88" t="s">
        <v>764</v>
      </c>
    </row>
    <row r="219" spans="1:10" ht="13.5">
      <c r="A219" s="10">
        <v>212</v>
      </c>
      <c r="B219" s="10" t="s">
        <v>765</v>
      </c>
      <c r="C219" s="10" t="s">
        <v>766</v>
      </c>
      <c r="D219" s="62">
        <v>239.3</v>
      </c>
      <c r="E219" s="10">
        <v>222</v>
      </c>
      <c r="F219" s="10">
        <v>17.3</v>
      </c>
      <c r="G219" s="10">
        <v>23</v>
      </c>
      <c r="H219" s="15" t="s">
        <v>212</v>
      </c>
      <c r="I219" s="21">
        <f t="shared" si="4"/>
        <v>93.50195904748321</v>
      </c>
      <c r="J219" s="88" t="s">
        <v>767</v>
      </c>
    </row>
    <row r="220" spans="1:10" ht="13.5">
      <c r="A220" s="10">
        <v>213</v>
      </c>
      <c r="B220" s="10" t="s">
        <v>768</v>
      </c>
      <c r="C220" s="10" t="s">
        <v>769</v>
      </c>
      <c r="D220" s="62">
        <v>190.5</v>
      </c>
      <c r="E220" s="10">
        <v>182.03333333333333</v>
      </c>
      <c r="F220" s="10">
        <v>8.466666666666669</v>
      </c>
      <c r="G220" s="12" t="s">
        <v>770</v>
      </c>
      <c r="H220" s="15"/>
      <c r="I220" s="21" t="e">
        <f t="shared" si="4"/>
        <v>#VALUE!</v>
      </c>
      <c r="J220" s="88" t="s">
        <v>771</v>
      </c>
    </row>
    <row r="221" spans="1:10" ht="15" customHeight="1">
      <c r="A221" s="10">
        <v>214</v>
      </c>
      <c r="B221" s="10" t="s">
        <v>768</v>
      </c>
      <c r="C221" s="10" t="s">
        <v>772</v>
      </c>
      <c r="D221" s="81">
        <f>8.5*25.4</f>
        <v>215.89999999999998</v>
      </c>
      <c r="E221" s="17">
        <f>8.25*25.4</f>
        <v>209.54999999999998</v>
      </c>
      <c r="F221" s="17">
        <f>D221-E221</f>
        <v>6.349999999999994</v>
      </c>
      <c r="G221" s="18"/>
      <c r="H221" s="19"/>
      <c r="I221" s="21">
        <f t="shared" si="4"/>
        <v>0</v>
      </c>
      <c r="J221" s="88" t="s">
        <v>773</v>
      </c>
    </row>
    <row r="222" spans="1:10" ht="13.5">
      <c r="A222" s="10">
        <v>215</v>
      </c>
      <c r="B222" s="10" t="s">
        <v>768</v>
      </c>
      <c r="C222" s="10" t="s">
        <v>774</v>
      </c>
      <c r="D222" s="81">
        <f>11*25.4</f>
        <v>279.4</v>
      </c>
      <c r="E222" s="82">
        <f>25.4*(10+19/32)</f>
        <v>269.08125</v>
      </c>
      <c r="F222" s="82">
        <f>D222-E222</f>
        <v>10.318749999999966</v>
      </c>
      <c r="G222" s="18"/>
      <c r="H222" s="19"/>
      <c r="I222" s="21">
        <f t="shared" si="4"/>
        <v>0</v>
      </c>
      <c r="J222" s="88" t="s">
        <v>775</v>
      </c>
    </row>
    <row r="223" spans="1:10" ht="15" customHeight="1">
      <c r="A223" s="10">
        <v>216</v>
      </c>
      <c r="B223" s="10" t="s">
        <v>768</v>
      </c>
      <c r="C223" s="10" t="s">
        <v>776</v>
      </c>
      <c r="D223" s="81"/>
      <c r="E223" s="17">
        <f>8.25*25.4</f>
        <v>209.54999999999998</v>
      </c>
      <c r="F223" s="18"/>
      <c r="G223" s="18" t="s">
        <v>777</v>
      </c>
      <c r="H223" s="19"/>
      <c r="I223" s="21" t="e">
        <f t="shared" si="4"/>
        <v>#VALUE!</v>
      </c>
      <c r="J223" s="88" t="s">
        <v>778</v>
      </c>
    </row>
    <row r="224" spans="1:10" ht="13.5">
      <c r="A224" s="10">
        <v>217</v>
      </c>
      <c r="B224" s="10" t="s">
        <v>768</v>
      </c>
      <c r="C224" s="10" t="s">
        <v>779</v>
      </c>
      <c r="D224" s="81"/>
      <c r="E224" s="83">
        <f>25.4*(10+19/64)</f>
        <v>261.540625</v>
      </c>
      <c r="F224" s="18"/>
      <c r="G224" s="18" t="s">
        <v>777</v>
      </c>
      <c r="H224" s="19"/>
      <c r="I224" s="21" t="e">
        <f t="shared" si="4"/>
        <v>#VALUE!</v>
      </c>
      <c r="J224" s="88" t="s">
        <v>780</v>
      </c>
    </row>
    <row r="225" spans="1:10" ht="13.5">
      <c r="A225" s="10">
        <v>218</v>
      </c>
      <c r="B225" s="10" t="s">
        <v>781</v>
      </c>
      <c r="C225" s="10" t="s">
        <v>782</v>
      </c>
      <c r="D225" s="64">
        <v>305</v>
      </c>
      <c r="E225" s="12">
        <v>294</v>
      </c>
      <c r="F225" s="12">
        <v>11</v>
      </c>
      <c r="G225" s="12">
        <v>16.15</v>
      </c>
      <c r="H225" s="11" t="s">
        <v>583</v>
      </c>
      <c r="I225" s="21">
        <f t="shared" si="4"/>
        <v>84.83666060299882</v>
      </c>
      <c r="J225" s="27" t="s">
        <v>783</v>
      </c>
    </row>
    <row r="226" spans="1:10" ht="13.5">
      <c r="A226" s="10">
        <v>219</v>
      </c>
      <c r="B226" s="10" t="s">
        <v>781</v>
      </c>
      <c r="C226" s="10" t="s">
        <v>784</v>
      </c>
      <c r="D226" s="12">
        <v>229</v>
      </c>
      <c r="E226" s="12">
        <v>214</v>
      </c>
      <c r="F226" s="12">
        <v>15</v>
      </c>
      <c r="G226" s="12">
        <v>21.9</v>
      </c>
      <c r="H226" s="12" t="s">
        <v>197</v>
      </c>
      <c r="I226" s="21">
        <f t="shared" si="4"/>
        <v>85.41420220986022</v>
      </c>
      <c r="J226" s="27" t="s">
        <v>785</v>
      </c>
    </row>
    <row r="227" spans="1:10" ht="13.5">
      <c r="A227" s="10">
        <v>220</v>
      </c>
      <c r="B227" s="10" t="s">
        <v>781</v>
      </c>
      <c r="C227" s="10" t="s">
        <v>786</v>
      </c>
      <c r="D227" s="10">
        <v>231.2</v>
      </c>
      <c r="E227" s="10">
        <v>215.34</v>
      </c>
      <c r="F227" s="12">
        <v>15.86</v>
      </c>
      <c r="G227" s="12">
        <v>22.6</v>
      </c>
      <c r="H227" s="11" t="s">
        <v>277</v>
      </c>
      <c r="I227" s="21">
        <f t="shared" si="4"/>
        <v>88.84907859894662</v>
      </c>
      <c r="J227" s="27" t="s">
        <v>787</v>
      </c>
    </row>
    <row r="228" spans="1:10" ht="13.5">
      <c r="A228" s="10">
        <v>221</v>
      </c>
      <c r="B228" s="10" t="s">
        <v>781</v>
      </c>
      <c r="C228" s="4" t="s">
        <v>788</v>
      </c>
      <c r="D228" s="10">
        <v>231.2</v>
      </c>
      <c r="E228" s="10">
        <v>213.25</v>
      </c>
      <c r="F228" s="10">
        <v>17.95</v>
      </c>
      <c r="G228" s="12">
        <v>23.84</v>
      </c>
      <c r="H228" s="11" t="s">
        <v>212</v>
      </c>
      <c r="I228" s="21">
        <f t="shared" si="4"/>
        <v>93.44733162321937</v>
      </c>
      <c r="J228" s="27" t="s">
        <v>789</v>
      </c>
    </row>
    <row r="229" spans="1:10" ht="13.5">
      <c r="A229" s="10">
        <v>222</v>
      </c>
      <c r="B229" s="10" t="s">
        <v>781</v>
      </c>
      <c r="C229" s="10" t="s">
        <v>790</v>
      </c>
      <c r="D229" s="8">
        <v>229</v>
      </c>
      <c r="E229" s="12">
        <v>213</v>
      </c>
      <c r="F229" s="12">
        <v>16</v>
      </c>
      <c r="G229" s="12">
        <v>22.8</v>
      </c>
      <c r="H229" s="11" t="s">
        <v>277</v>
      </c>
      <c r="I229" s="21">
        <f t="shared" si="4"/>
        <v>88.74106929753158</v>
      </c>
      <c r="J229" s="27" t="s">
        <v>791</v>
      </c>
    </row>
    <row r="230" spans="1:10" ht="13.5">
      <c r="A230" s="10">
        <v>223</v>
      </c>
      <c r="B230" s="10" t="s">
        <v>781</v>
      </c>
      <c r="C230" s="10" t="s">
        <v>792</v>
      </c>
      <c r="D230" s="10">
        <v>233.2</v>
      </c>
      <c r="E230" s="10">
        <v>215.4</v>
      </c>
      <c r="F230" s="12">
        <v>17.8</v>
      </c>
      <c r="G230" s="12">
        <v>23.62</v>
      </c>
      <c r="H230" s="11" t="s">
        <v>212</v>
      </c>
      <c r="I230" s="21">
        <f t="shared" si="4"/>
        <v>93.43598260500295</v>
      </c>
      <c r="J230" s="27" t="s">
        <v>793</v>
      </c>
    </row>
    <row r="231" spans="1:10" ht="13.5">
      <c r="A231" s="10">
        <v>224</v>
      </c>
      <c r="B231" s="10" t="s">
        <v>781</v>
      </c>
      <c r="C231" s="10" t="s">
        <v>794</v>
      </c>
      <c r="D231" s="10">
        <v>233.2</v>
      </c>
      <c r="E231" s="10">
        <v>215.4</v>
      </c>
      <c r="F231" s="10">
        <v>17.8</v>
      </c>
      <c r="G231" s="12">
        <v>23.62</v>
      </c>
      <c r="H231" s="11" t="s">
        <v>212</v>
      </c>
      <c r="I231" s="21">
        <f t="shared" si="4"/>
        <v>93.43598260500295</v>
      </c>
      <c r="J231" s="27" t="s">
        <v>795</v>
      </c>
    </row>
    <row r="232" spans="1:10" ht="13.5">
      <c r="A232" s="10">
        <v>225</v>
      </c>
      <c r="B232" s="10" t="s">
        <v>781</v>
      </c>
      <c r="C232" s="10" t="s">
        <v>796</v>
      </c>
      <c r="D232" s="10">
        <v>239.3</v>
      </c>
      <c r="E232" s="10">
        <v>222</v>
      </c>
      <c r="F232" s="10">
        <v>17.3</v>
      </c>
      <c r="G232" s="12">
        <v>22.985</v>
      </c>
      <c r="H232" s="11" t="s">
        <v>212</v>
      </c>
      <c r="I232" s="21">
        <f t="shared" si="4"/>
        <v>93.44428750950134</v>
      </c>
      <c r="J232" s="27" t="s">
        <v>795</v>
      </c>
    </row>
    <row r="233" spans="1:10" ht="13.5">
      <c r="A233" s="10">
        <v>226</v>
      </c>
      <c r="B233" s="10" t="s">
        <v>781</v>
      </c>
      <c r="C233" s="10" t="s">
        <v>797</v>
      </c>
      <c r="D233" s="10">
        <v>308.8</v>
      </c>
      <c r="E233" s="10">
        <v>295.6</v>
      </c>
      <c r="F233" s="10">
        <v>13.2</v>
      </c>
      <c r="G233" s="12">
        <v>17.615</v>
      </c>
      <c r="H233" s="11" t="s">
        <v>212</v>
      </c>
      <c r="I233" s="21">
        <f t="shared" si="4"/>
        <v>93.44887847669324</v>
      </c>
      <c r="J233" s="27" t="s">
        <v>795</v>
      </c>
    </row>
    <row r="234" spans="1:10" ht="13.5">
      <c r="A234" s="10">
        <v>227</v>
      </c>
      <c r="B234" s="10" t="s">
        <v>781</v>
      </c>
      <c r="C234" s="10" t="s">
        <v>798</v>
      </c>
      <c r="D234" s="10">
        <v>233.15</v>
      </c>
      <c r="E234" s="10">
        <v>215.35</v>
      </c>
      <c r="F234" s="10">
        <v>17.8</v>
      </c>
      <c r="G234" s="8">
        <v>23.635</v>
      </c>
      <c r="H234" s="8" t="s">
        <v>212</v>
      </c>
      <c r="I234" s="21">
        <f t="shared" si="4"/>
        <v>93.47187085711832</v>
      </c>
      <c r="J234" s="27" t="s">
        <v>795</v>
      </c>
    </row>
    <row r="235" spans="1:10" ht="13.5">
      <c r="A235" s="10">
        <v>228</v>
      </c>
      <c r="B235" s="10" t="s">
        <v>781</v>
      </c>
      <c r="C235" s="10">
        <v>309</v>
      </c>
      <c r="D235" s="10">
        <v>232.32</v>
      </c>
      <c r="E235" s="10">
        <v>215.35</v>
      </c>
      <c r="F235" s="12">
        <v>16.97</v>
      </c>
      <c r="G235" s="8">
        <v>23.204</v>
      </c>
      <c r="H235" s="9" t="s">
        <v>799</v>
      </c>
      <c r="I235" s="21">
        <f t="shared" si="4"/>
        <v>91.53549166521776</v>
      </c>
      <c r="J235" s="27" t="s">
        <v>800</v>
      </c>
    </row>
    <row r="236" spans="1:10" ht="13.5">
      <c r="A236" s="10">
        <v>229</v>
      </c>
      <c r="B236" s="10" t="s">
        <v>781</v>
      </c>
      <c r="C236" s="4">
        <v>310</v>
      </c>
      <c r="D236" s="10">
        <v>238.5</v>
      </c>
      <c r="E236" s="10">
        <v>222</v>
      </c>
      <c r="F236" s="10">
        <v>16.5</v>
      </c>
      <c r="G236" s="8">
        <v>22.569</v>
      </c>
      <c r="H236" s="9" t="s">
        <v>799</v>
      </c>
      <c r="I236" s="21">
        <f t="shared" si="4"/>
        <v>91.53528915068767</v>
      </c>
      <c r="J236" s="27" t="s">
        <v>801</v>
      </c>
    </row>
    <row r="237" spans="1:10" ht="13.5">
      <c r="A237" s="10">
        <v>230</v>
      </c>
      <c r="B237" s="10" t="s">
        <v>781</v>
      </c>
      <c r="C237" s="10">
        <v>312</v>
      </c>
      <c r="D237" s="10">
        <v>308.19</v>
      </c>
      <c r="E237" s="10">
        <v>295.6</v>
      </c>
      <c r="F237" s="10">
        <v>12.59</v>
      </c>
      <c r="G237" s="8">
        <v>17.278</v>
      </c>
      <c r="H237" s="9" t="s">
        <v>802</v>
      </c>
      <c r="I237" s="21">
        <f t="shared" si="4"/>
        <v>91.53497267094114</v>
      </c>
      <c r="J237" s="27" t="s">
        <v>801</v>
      </c>
    </row>
    <row r="238" spans="1:10" ht="13.5">
      <c r="A238" s="10">
        <v>231</v>
      </c>
      <c r="B238" s="10" t="s">
        <v>781</v>
      </c>
      <c r="C238" s="10" t="s">
        <v>803</v>
      </c>
      <c r="D238" s="10">
        <v>233.2</v>
      </c>
      <c r="E238" s="10">
        <v>215.4</v>
      </c>
      <c r="F238" s="10">
        <v>17.8</v>
      </c>
      <c r="G238" s="12">
        <v>23.62</v>
      </c>
      <c r="H238" s="11" t="s">
        <v>212</v>
      </c>
      <c r="I238" s="21">
        <f t="shared" si="4"/>
        <v>93.43598260500295</v>
      </c>
      <c r="J238" s="27" t="s">
        <v>795</v>
      </c>
    </row>
    <row r="239" spans="1:10" ht="13.5">
      <c r="A239" s="10">
        <v>232</v>
      </c>
      <c r="B239" s="10" t="s">
        <v>781</v>
      </c>
      <c r="C239" s="10" t="s">
        <v>804</v>
      </c>
      <c r="D239" s="10">
        <v>239.3</v>
      </c>
      <c r="E239" s="10">
        <v>222</v>
      </c>
      <c r="F239" s="10">
        <v>17.3</v>
      </c>
      <c r="G239" s="12">
        <v>22.985</v>
      </c>
      <c r="H239" s="11" t="s">
        <v>212</v>
      </c>
      <c r="I239" s="21">
        <f t="shared" si="4"/>
        <v>93.44428750950134</v>
      </c>
      <c r="J239" s="27" t="s">
        <v>795</v>
      </c>
    </row>
    <row r="240" spans="1:10" ht="13.5">
      <c r="A240" s="10">
        <v>233</v>
      </c>
      <c r="B240" s="10" t="s">
        <v>781</v>
      </c>
      <c r="C240" s="10" t="s">
        <v>805</v>
      </c>
      <c r="D240" s="10">
        <v>308.8</v>
      </c>
      <c r="E240" s="10">
        <v>295.6</v>
      </c>
      <c r="F240" s="10">
        <v>13.2</v>
      </c>
      <c r="G240" s="12">
        <v>17.615</v>
      </c>
      <c r="H240" s="11" t="s">
        <v>212</v>
      </c>
      <c r="I240" s="21">
        <f t="shared" si="4"/>
        <v>93.44887847669324</v>
      </c>
      <c r="J240" s="27" t="s">
        <v>806</v>
      </c>
    </row>
    <row r="241" spans="1:10" ht="13.5">
      <c r="A241" s="10">
        <v>234</v>
      </c>
      <c r="B241" s="10" t="s">
        <v>807</v>
      </c>
      <c r="C241" s="10" t="s">
        <v>808</v>
      </c>
      <c r="D241" s="10">
        <v>240</v>
      </c>
      <c r="E241" s="10">
        <v>225</v>
      </c>
      <c r="F241" s="10">
        <v>15</v>
      </c>
      <c r="G241" s="12">
        <v>21.5</v>
      </c>
      <c r="H241" s="11" t="s">
        <v>167</v>
      </c>
      <c r="I241" s="21">
        <f t="shared" si="4"/>
        <v>87.96029441383133</v>
      </c>
      <c r="J241" s="27" t="s">
        <v>809</v>
      </c>
    </row>
    <row r="242" spans="1:10" ht="13.5">
      <c r="A242" s="10">
        <v>235</v>
      </c>
      <c r="B242" s="10" t="s">
        <v>810</v>
      </c>
      <c r="C242" s="10" t="s">
        <v>811</v>
      </c>
      <c r="D242" s="46" t="s">
        <v>812</v>
      </c>
      <c r="E242" s="10"/>
      <c r="F242" s="10"/>
      <c r="G242" s="12"/>
      <c r="H242" s="11"/>
      <c r="I242" s="21" t="e">
        <f t="shared" si="4"/>
        <v>#VALUE!</v>
      </c>
      <c r="J242" s="27" t="s">
        <v>813</v>
      </c>
    </row>
    <row r="243" spans="1:10" ht="13.5">
      <c r="A243" s="10">
        <v>236</v>
      </c>
      <c r="B243" s="10" t="s">
        <v>814</v>
      </c>
      <c r="C243" s="10" t="s">
        <v>815</v>
      </c>
      <c r="D243" s="12">
        <v>222</v>
      </c>
      <c r="E243" s="10">
        <v>209.55</v>
      </c>
      <c r="F243" s="12">
        <v>12.45</v>
      </c>
      <c r="G243" s="12">
        <v>20</v>
      </c>
      <c r="H243" s="11" t="s">
        <v>816</v>
      </c>
      <c r="I243" s="21">
        <f t="shared" si="4"/>
        <v>75.92847181829845</v>
      </c>
      <c r="J243" s="27" t="s">
        <v>817</v>
      </c>
    </row>
    <row r="244" spans="1:10" ht="13.5">
      <c r="A244" s="10">
        <v>237</v>
      </c>
      <c r="B244" s="10" t="s">
        <v>818</v>
      </c>
      <c r="C244" s="10" t="s">
        <v>819</v>
      </c>
      <c r="D244" s="8">
        <v>239</v>
      </c>
      <c r="E244" s="8">
        <v>221.7</v>
      </c>
      <c r="F244" s="8">
        <v>17.3</v>
      </c>
      <c r="G244" s="8">
        <v>23</v>
      </c>
      <c r="H244" s="9" t="s">
        <v>212</v>
      </c>
      <c r="I244" s="21">
        <f t="shared" si="4"/>
        <v>93.38473970893642</v>
      </c>
      <c r="J244" s="27" t="s">
        <v>820</v>
      </c>
    </row>
    <row r="245" spans="1:10" ht="13.5">
      <c r="A245" s="10">
        <v>238</v>
      </c>
      <c r="B245" s="10" t="s">
        <v>818</v>
      </c>
      <c r="C245" s="10" t="s">
        <v>821</v>
      </c>
      <c r="D245" s="8">
        <v>228.6</v>
      </c>
      <c r="E245" s="8">
        <v>210.43</v>
      </c>
      <c r="F245" s="8">
        <v>18.17</v>
      </c>
      <c r="G245" s="8">
        <v>24.14</v>
      </c>
      <c r="H245" s="9" t="s">
        <v>212</v>
      </c>
      <c r="I245" s="21">
        <f t="shared" si="4"/>
        <v>93.49000234367436</v>
      </c>
      <c r="J245" s="27" t="s">
        <v>822</v>
      </c>
    </row>
    <row r="246" spans="1:10" ht="13.5">
      <c r="A246" s="10">
        <v>239</v>
      </c>
      <c r="B246" s="10" t="s">
        <v>823</v>
      </c>
      <c r="C246" s="10" t="s">
        <v>824</v>
      </c>
      <c r="D246" s="8">
        <v>228</v>
      </c>
      <c r="E246" s="8">
        <v>211.4</v>
      </c>
      <c r="F246" s="8">
        <v>16.6</v>
      </c>
      <c r="G246" s="12">
        <v>23.4</v>
      </c>
      <c r="H246" s="12" t="s">
        <v>825</v>
      </c>
      <c r="I246" s="21">
        <f t="shared" si="4"/>
        <v>90.54971906472997</v>
      </c>
      <c r="J246" s="27" t="s">
        <v>826</v>
      </c>
    </row>
    <row r="247" spans="1:10" ht="13.5">
      <c r="A247" s="10">
        <v>240</v>
      </c>
      <c r="B247" s="10" t="s">
        <v>823</v>
      </c>
      <c r="C247" s="10" t="s">
        <v>827</v>
      </c>
      <c r="D247" s="10">
        <v>228</v>
      </c>
      <c r="E247" s="10">
        <v>211.4</v>
      </c>
      <c r="F247" s="10">
        <v>16.6</v>
      </c>
      <c r="G247" s="12">
        <v>23.4</v>
      </c>
      <c r="H247" s="12" t="s">
        <v>825</v>
      </c>
      <c r="I247" s="21">
        <f t="shared" si="4"/>
        <v>90.54971906472997</v>
      </c>
      <c r="J247" s="27" t="s">
        <v>828</v>
      </c>
    </row>
    <row r="248" spans="1:10" ht="13.5">
      <c r="A248" s="10">
        <v>241</v>
      </c>
      <c r="B248" s="10" t="s">
        <v>823</v>
      </c>
      <c r="C248" s="10" t="s">
        <v>829</v>
      </c>
      <c r="D248" s="8">
        <v>228</v>
      </c>
      <c r="E248" s="8">
        <v>211.7</v>
      </c>
      <c r="F248" s="8">
        <v>16.3</v>
      </c>
      <c r="G248" s="12">
        <v>23</v>
      </c>
      <c r="H248" s="12" t="s">
        <v>830</v>
      </c>
      <c r="I248" s="21">
        <f t="shared" si="4"/>
        <v>89.0866972955544</v>
      </c>
      <c r="J248" s="27" t="s">
        <v>831</v>
      </c>
    </row>
    <row r="249" spans="1:10" ht="13.5">
      <c r="A249" s="10">
        <v>242</v>
      </c>
      <c r="B249" s="10" t="s">
        <v>832</v>
      </c>
      <c r="C249" s="10" t="s">
        <v>833</v>
      </c>
      <c r="D249" s="12">
        <v>207.5</v>
      </c>
      <c r="E249" s="12">
        <v>190</v>
      </c>
      <c r="F249" s="12">
        <v>17.5</v>
      </c>
      <c r="G249" s="12">
        <v>25.25</v>
      </c>
      <c r="H249" s="11" t="s">
        <v>716</v>
      </c>
      <c r="I249" s="21">
        <f t="shared" si="4"/>
        <v>88.51301352955261</v>
      </c>
      <c r="J249" s="27" t="s">
        <v>834</v>
      </c>
    </row>
    <row r="250" spans="1:10" ht="13.5">
      <c r="A250" s="10">
        <v>243</v>
      </c>
      <c r="B250" s="10" t="s">
        <v>832</v>
      </c>
      <c r="C250" s="10" t="s">
        <v>835</v>
      </c>
      <c r="D250" s="8">
        <v>207.5</v>
      </c>
      <c r="E250" s="8">
        <v>190</v>
      </c>
      <c r="F250" s="8">
        <v>17.5</v>
      </c>
      <c r="G250" s="8">
        <v>25.25</v>
      </c>
      <c r="H250" s="9" t="s">
        <v>716</v>
      </c>
      <c r="I250" s="21">
        <f t="shared" si="4"/>
        <v>88.51301352955261</v>
      </c>
      <c r="J250" s="27" t="s">
        <v>836</v>
      </c>
    </row>
    <row r="251" spans="1:10" ht="13.5">
      <c r="A251" s="10">
        <v>244</v>
      </c>
      <c r="B251" s="10" t="s">
        <v>832</v>
      </c>
      <c r="C251" s="10" t="s">
        <v>837</v>
      </c>
      <c r="D251" s="12">
        <v>230</v>
      </c>
      <c r="E251" s="12">
        <v>215.6</v>
      </c>
      <c r="F251" s="12">
        <v>14.4</v>
      </c>
      <c r="G251" s="12">
        <v>22</v>
      </c>
      <c r="H251" s="11" t="s">
        <v>838</v>
      </c>
      <c r="I251" s="21">
        <f t="shared" si="4"/>
        <v>86.15951648565976</v>
      </c>
      <c r="J251" s="27" t="s">
        <v>839</v>
      </c>
    </row>
    <row r="252" spans="1:10" ht="13.5">
      <c r="A252" s="10">
        <v>245</v>
      </c>
      <c r="B252" s="10" t="s">
        <v>832</v>
      </c>
      <c r="C252" s="10" t="s">
        <v>840</v>
      </c>
      <c r="D252" s="10">
        <v>230</v>
      </c>
      <c r="E252" s="10">
        <v>215.6</v>
      </c>
      <c r="F252" s="10">
        <v>14.4</v>
      </c>
      <c r="G252" s="10">
        <v>22</v>
      </c>
      <c r="H252" s="11" t="s">
        <v>838</v>
      </c>
      <c r="I252" s="21">
        <f t="shared" si="4"/>
        <v>86.15951648565976</v>
      </c>
      <c r="J252" s="27" t="s">
        <v>841</v>
      </c>
    </row>
    <row r="253" spans="1:10" s="1" customFormat="1" ht="13.5">
      <c r="A253" s="10">
        <v>246</v>
      </c>
      <c r="B253" s="10" t="s">
        <v>832</v>
      </c>
      <c r="C253" s="10" t="s">
        <v>842</v>
      </c>
      <c r="D253" s="10">
        <v>232</v>
      </c>
      <c r="E253" s="10">
        <v>215.6</v>
      </c>
      <c r="F253" s="10">
        <v>16.4</v>
      </c>
      <c r="G253" s="10">
        <v>23</v>
      </c>
      <c r="H253" s="11" t="s">
        <v>522</v>
      </c>
      <c r="I253" s="21">
        <f t="shared" si="4"/>
        <v>90.6496218095115</v>
      </c>
      <c r="J253" s="32" t="s">
        <v>843</v>
      </c>
    </row>
    <row r="254" spans="1:10" ht="13.5">
      <c r="A254" s="10">
        <v>247</v>
      </c>
      <c r="B254" s="10" t="s">
        <v>832</v>
      </c>
      <c r="C254" s="10" t="s">
        <v>844</v>
      </c>
      <c r="D254" s="12">
        <v>210</v>
      </c>
      <c r="E254" s="12">
        <v>190</v>
      </c>
      <c r="F254" s="12">
        <v>20</v>
      </c>
      <c r="G254" s="12">
        <v>26.5</v>
      </c>
      <c r="H254" s="11" t="s">
        <v>742</v>
      </c>
      <c r="I254" s="21">
        <f t="shared" si="4"/>
        <v>93.70154075305985</v>
      </c>
      <c r="J254" s="27" t="s">
        <v>845</v>
      </c>
    </row>
    <row r="255" spans="1:10" ht="13.5">
      <c r="A255" s="10">
        <v>248</v>
      </c>
      <c r="B255" s="10" t="s">
        <v>832</v>
      </c>
      <c r="C255" s="14" t="s">
        <v>846</v>
      </c>
      <c r="D255" s="10">
        <v>230</v>
      </c>
      <c r="E255" s="12">
        <v>212</v>
      </c>
      <c r="F255" s="8">
        <v>18</v>
      </c>
      <c r="G255" s="12">
        <v>24</v>
      </c>
      <c r="H255" s="11" t="s">
        <v>620</v>
      </c>
      <c r="I255" s="21">
        <f t="shared" si="4"/>
        <v>93.54942790743404</v>
      </c>
      <c r="J255" s="27" t="s">
        <v>847</v>
      </c>
    </row>
    <row r="256" spans="1:10" ht="13.5">
      <c r="A256" s="10">
        <v>249</v>
      </c>
      <c r="B256" s="10" t="s">
        <v>832</v>
      </c>
      <c r="C256" s="14" t="s">
        <v>848</v>
      </c>
      <c r="D256" s="10">
        <v>230</v>
      </c>
      <c r="E256" s="12">
        <v>215</v>
      </c>
      <c r="F256" s="12">
        <v>15</v>
      </c>
      <c r="G256" s="12">
        <v>22</v>
      </c>
      <c r="H256" s="11" t="s">
        <v>849</v>
      </c>
      <c r="I256" s="21">
        <f t="shared" si="4"/>
        <v>86.15951648565976</v>
      </c>
      <c r="J256" s="27" t="s">
        <v>850</v>
      </c>
    </row>
    <row r="257" spans="1:10" ht="13.5">
      <c r="A257" s="10">
        <v>250</v>
      </c>
      <c r="B257" s="10" t="s">
        <v>832</v>
      </c>
      <c r="C257" s="14" t="s">
        <v>851</v>
      </c>
      <c r="D257" s="8">
        <v>210</v>
      </c>
      <c r="E257" s="10">
        <v>190</v>
      </c>
      <c r="F257" s="8">
        <v>20</v>
      </c>
      <c r="G257" s="12">
        <v>26.5</v>
      </c>
      <c r="H257" s="11" t="s">
        <v>742</v>
      </c>
      <c r="I257" s="21">
        <f t="shared" si="4"/>
        <v>93.70154075305985</v>
      </c>
      <c r="J257" s="27" t="s">
        <v>852</v>
      </c>
    </row>
    <row r="258" spans="1:10" ht="13.5">
      <c r="A258" s="10">
        <v>251</v>
      </c>
      <c r="B258" s="10" t="s">
        <v>832</v>
      </c>
      <c r="C258" s="14" t="s">
        <v>853</v>
      </c>
      <c r="D258" s="10">
        <v>230</v>
      </c>
      <c r="E258" s="10">
        <v>215.6</v>
      </c>
      <c r="F258" s="10">
        <v>14.4</v>
      </c>
      <c r="G258" s="10">
        <v>22</v>
      </c>
      <c r="H258" s="11" t="s">
        <v>838</v>
      </c>
      <c r="I258" s="21">
        <f t="shared" si="4"/>
        <v>86.15951648565976</v>
      </c>
      <c r="J258" s="27" t="s">
        <v>854</v>
      </c>
    </row>
    <row r="259" spans="1:10" ht="13.5">
      <c r="A259" s="10">
        <v>252</v>
      </c>
      <c r="B259" s="10" t="s">
        <v>832</v>
      </c>
      <c r="C259" s="14" t="s">
        <v>855</v>
      </c>
      <c r="D259" s="8">
        <v>230</v>
      </c>
      <c r="E259" s="10">
        <v>215.6</v>
      </c>
      <c r="F259" s="8">
        <v>14.4</v>
      </c>
      <c r="G259" s="8">
        <v>22</v>
      </c>
      <c r="H259" s="11" t="s">
        <v>838</v>
      </c>
      <c r="I259" s="21">
        <f t="shared" si="4"/>
        <v>86.15951648565976</v>
      </c>
      <c r="J259" s="27" t="s">
        <v>856</v>
      </c>
    </row>
    <row r="260" spans="1:10" s="1" customFormat="1" ht="13.5">
      <c r="A260" s="10">
        <v>253</v>
      </c>
      <c r="B260" s="10" t="s">
        <v>832</v>
      </c>
      <c r="C260" s="89" t="s">
        <v>857</v>
      </c>
      <c r="D260" s="8">
        <v>232</v>
      </c>
      <c r="E260" s="10">
        <v>215.6</v>
      </c>
      <c r="F260" s="8">
        <v>16.4</v>
      </c>
      <c r="G260" s="8">
        <v>23</v>
      </c>
      <c r="H260" s="15" t="s">
        <v>522</v>
      </c>
      <c r="I260" s="21">
        <f t="shared" si="4"/>
        <v>90.6496218095115</v>
      </c>
      <c r="J260" s="98" t="s">
        <v>858</v>
      </c>
    </row>
    <row r="261" spans="1:10" ht="13.5">
      <c r="A261" s="10">
        <v>254</v>
      </c>
      <c r="B261" s="10" t="s">
        <v>832</v>
      </c>
      <c r="C261" s="89" t="s">
        <v>859</v>
      </c>
      <c r="D261" s="10">
        <v>232</v>
      </c>
      <c r="E261" s="10">
        <v>215.6</v>
      </c>
      <c r="F261" s="10">
        <v>16.4</v>
      </c>
      <c r="G261" s="10">
        <v>23</v>
      </c>
      <c r="H261" s="15" t="s">
        <v>522</v>
      </c>
      <c r="I261" s="21">
        <f aca="true" t="shared" si="5" ref="I261:I278">D261*SIN(G261*PI()/180)</f>
        <v>90.6496218095115</v>
      </c>
      <c r="J261" s="45" t="s">
        <v>860</v>
      </c>
    </row>
    <row r="262" spans="1:10" ht="13.5">
      <c r="A262" s="10">
        <v>255</v>
      </c>
      <c r="B262" s="10" t="s">
        <v>832</v>
      </c>
      <c r="C262" s="89" t="s">
        <v>861</v>
      </c>
      <c r="D262" s="10">
        <v>247.7</v>
      </c>
      <c r="E262" s="10">
        <v>230</v>
      </c>
      <c r="F262" s="10">
        <v>17.7</v>
      </c>
      <c r="G262" s="12">
        <v>23</v>
      </c>
      <c r="H262" s="11" t="s">
        <v>862</v>
      </c>
      <c r="I262" s="21">
        <f t="shared" si="5"/>
        <v>96.7841005267931</v>
      </c>
      <c r="J262" s="45" t="s">
        <v>863</v>
      </c>
    </row>
    <row r="263" spans="1:10" ht="13.5">
      <c r="A263" s="10">
        <v>256</v>
      </c>
      <c r="B263" s="10" t="s">
        <v>832</v>
      </c>
      <c r="C263" s="89" t="s">
        <v>864</v>
      </c>
      <c r="D263" s="8">
        <v>232</v>
      </c>
      <c r="E263" s="8">
        <v>215.6</v>
      </c>
      <c r="F263" s="8">
        <v>16.4</v>
      </c>
      <c r="G263" s="8">
        <v>23</v>
      </c>
      <c r="H263" s="9" t="s">
        <v>522</v>
      </c>
      <c r="I263" s="21">
        <f t="shared" si="5"/>
        <v>90.6496218095115</v>
      </c>
      <c r="J263" s="45" t="s">
        <v>865</v>
      </c>
    </row>
    <row r="264" spans="1:10" ht="13.5">
      <c r="A264" s="10">
        <v>257</v>
      </c>
      <c r="B264" s="10" t="s">
        <v>832</v>
      </c>
      <c r="C264" s="89" t="s">
        <v>866</v>
      </c>
      <c r="D264" s="8">
        <v>222</v>
      </c>
      <c r="E264" s="10">
        <v>206.5</v>
      </c>
      <c r="F264" s="8">
        <v>15.5</v>
      </c>
      <c r="G264" s="8">
        <v>23</v>
      </c>
      <c r="H264" s="15" t="s">
        <v>867</v>
      </c>
      <c r="I264" s="21">
        <f t="shared" si="5"/>
        <v>86.74231052461876</v>
      </c>
      <c r="J264" s="45" t="s">
        <v>868</v>
      </c>
    </row>
    <row r="265" spans="1:10" ht="13.5">
      <c r="A265" s="10">
        <v>258</v>
      </c>
      <c r="B265" s="10" t="s">
        <v>832</v>
      </c>
      <c r="C265" s="89" t="s">
        <v>869</v>
      </c>
      <c r="D265" s="8">
        <v>230</v>
      </c>
      <c r="E265" s="10">
        <v>215.6</v>
      </c>
      <c r="F265" s="8">
        <v>14.4</v>
      </c>
      <c r="G265" s="10">
        <v>22</v>
      </c>
      <c r="H265" s="11" t="s">
        <v>838</v>
      </c>
      <c r="I265" s="21">
        <f t="shared" si="5"/>
        <v>86.15951648565976</v>
      </c>
      <c r="J265" s="45"/>
    </row>
    <row r="266" spans="1:10" ht="13.5">
      <c r="A266" s="10">
        <v>259</v>
      </c>
      <c r="B266" s="10" t="s">
        <v>832</v>
      </c>
      <c r="C266" s="89" t="s">
        <v>870</v>
      </c>
      <c r="D266" s="8">
        <v>232</v>
      </c>
      <c r="E266" s="8">
        <v>215.6</v>
      </c>
      <c r="F266" s="8">
        <v>16.4</v>
      </c>
      <c r="G266" s="8">
        <v>23</v>
      </c>
      <c r="H266" s="9" t="s">
        <v>522</v>
      </c>
      <c r="I266" s="21">
        <f t="shared" si="5"/>
        <v>90.6496218095115</v>
      </c>
      <c r="J266" s="45" t="s">
        <v>871</v>
      </c>
    </row>
    <row r="267" spans="1:10" ht="13.5">
      <c r="A267" s="10">
        <v>260</v>
      </c>
      <c r="B267" s="10" t="s">
        <v>832</v>
      </c>
      <c r="C267" s="89" t="s">
        <v>872</v>
      </c>
      <c r="D267" s="10">
        <v>244</v>
      </c>
      <c r="E267" s="10">
        <v>230</v>
      </c>
      <c r="F267" s="10">
        <v>14</v>
      </c>
      <c r="G267" s="12">
        <v>21</v>
      </c>
      <c r="H267" s="10" t="s">
        <v>313</v>
      </c>
      <c r="I267" s="21">
        <f t="shared" si="5"/>
        <v>87.44177968905326</v>
      </c>
      <c r="J267" s="28" t="s">
        <v>873</v>
      </c>
    </row>
    <row r="268" spans="1:10" ht="15" customHeight="1">
      <c r="A268" s="10">
        <v>261</v>
      </c>
      <c r="B268" s="10" t="s">
        <v>832</v>
      </c>
      <c r="C268" s="89" t="s">
        <v>874</v>
      </c>
      <c r="D268" s="8">
        <v>222</v>
      </c>
      <c r="E268" s="10">
        <v>206.5</v>
      </c>
      <c r="F268" s="8">
        <v>15.5</v>
      </c>
      <c r="G268" s="8">
        <v>23</v>
      </c>
      <c r="H268" s="15" t="s">
        <v>867</v>
      </c>
      <c r="I268" s="21">
        <f t="shared" si="5"/>
        <v>86.74231052461876</v>
      </c>
      <c r="J268" s="49" t="s">
        <v>875</v>
      </c>
    </row>
    <row r="269" spans="1:10" ht="13.5">
      <c r="A269" s="10">
        <v>262</v>
      </c>
      <c r="B269" s="10" t="s">
        <v>832</v>
      </c>
      <c r="C269" s="89" t="s">
        <v>876</v>
      </c>
      <c r="D269" s="12">
        <v>212</v>
      </c>
      <c r="E269" s="12">
        <v>196</v>
      </c>
      <c r="F269" s="12">
        <v>16</v>
      </c>
      <c r="G269" s="12">
        <v>24</v>
      </c>
      <c r="H269" s="11" t="s">
        <v>877</v>
      </c>
      <c r="I269" s="21">
        <f t="shared" si="5"/>
        <v>86.22816833206963</v>
      </c>
      <c r="J269" s="49" t="s">
        <v>878</v>
      </c>
    </row>
    <row r="270" spans="1:10" ht="13.5">
      <c r="A270" s="10">
        <v>263</v>
      </c>
      <c r="B270" s="10" t="s">
        <v>832</v>
      </c>
      <c r="C270" s="89" t="s">
        <v>879</v>
      </c>
      <c r="D270" s="12">
        <v>228</v>
      </c>
      <c r="E270" s="12">
        <v>210</v>
      </c>
      <c r="F270" s="12">
        <v>18</v>
      </c>
      <c r="G270" s="12">
        <v>24</v>
      </c>
      <c r="H270" s="11" t="s">
        <v>880</v>
      </c>
      <c r="I270" s="21">
        <f t="shared" si="5"/>
        <v>92.73595462128243</v>
      </c>
      <c r="J270" s="49" t="s">
        <v>881</v>
      </c>
    </row>
    <row r="271" spans="1:10" ht="13.5">
      <c r="A271" s="10">
        <v>264</v>
      </c>
      <c r="B271" s="10" t="s">
        <v>832</v>
      </c>
      <c r="C271" s="89" t="s">
        <v>882</v>
      </c>
      <c r="D271" s="8">
        <v>228</v>
      </c>
      <c r="E271" s="8">
        <v>210</v>
      </c>
      <c r="F271" s="8">
        <v>18</v>
      </c>
      <c r="G271" s="8">
        <v>24</v>
      </c>
      <c r="H271" s="11" t="s">
        <v>880</v>
      </c>
      <c r="I271" s="21">
        <f t="shared" si="5"/>
        <v>92.73595462128243</v>
      </c>
      <c r="J271" s="49" t="s">
        <v>883</v>
      </c>
    </row>
    <row r="272" spans="1:10" ht="13.5">
      <c r="A272" s="10">
        <v>265</v>
      </c>
      <c r="B272" s="10" t="s">
        <v>832</v>
      </c>
      <c r="C272" s="89" t="s">
        <v>884</v>
      </c>
      <c r="D272" s="12">
        <v>272.5</v>
      </c>
      <c r="E272" s="12">
        <v>257</v>
      </c>
      <c r="F272" s="12">
        <v>15.5</v>
      </c>
      <c r="G272" s="12">
        <v>20</v>
      </c>
      <c r="H272" s="11" t="s">
        <v>551</v>
      </c>
      <c r="I272" s="21">
        <f t="shared" si="5"/>
        <v>93.20048905624472</v>
      </c>
      <c r="J272" s="49" t="s">
        <v>885</v>
      </c>
    </row>
    <row r="273" spans="1:10" ht="13.5">
      <c r="A273" s="10">
        <v>266</v>
      </c>
      <c r="B273" s="10" t="s">
        <v>832</v>
      </c>
      <c r="C273" s="89" t="s">
        <v>886</v>
      </c>
      <c r="D273" s="10">
        <v>309.6</v>
      </c>
      <c r="E273" s="10">
        <v>297</v>
      </c>
      <c r="F273" s="10">
        <v>12.6</v>
      </c>
      <c r="G273" s="10">
        <v>17.3</v>
      </c>
      <c r="H273" s="11" t="s">
        <v>887</v>
      </c>
      <c r="I273" s="21">
        <f t="shared" si="5"/>
        <v>92.06726101448254</v>
      </c>
      <c r="J273" s="49" t="s">
        <v>888</v>
      </c>
    </row>
    <row r="274" spans="1:10" ht="13.5">
      <c r="A274" s="10">
        <v>267</v>
      </c>
      <c r="B274" s="10" t="s">
        <v>889</v>
      </c>
      <c r="C274" s="14" t="s">
        <v>890</v>
      </c>
      <c r="D274" s="12">
        <v>213</v>
      </c>
      <c r="E274" s="12">
        <v>193</v>
      </c>
      <c r="F274" s="12">
        <v>20</v>
      </c>
      <c r="G274" s="12">
        <v>27</v>
      </c>
      <c r="H274" s="11" t="s">
        <v>891</v>
      </c>
      <c r="I274" s="21">
        <f t="shared" si="5"/>
        <v>96.69997644452346</v>
      </c>
      <c r="J274" s="27" t="s">
        <v>892</v>
      </c>
    </row>
    <row r="275" spans="1:10" ht="13.5">
      <c r="A275" s="10">
        <v>268</v>
      </c>
      <c r="B275" s="10" t="s">
        <v>893</v>
      </c>
      <c r="C275" s="14" t="s">
        <v>894</v>
      </c>
      <c r="D275" s="12">
        <v>228</v>
      </c>
      <c r="E275" s="12">
        <v>210</v>
      </c>
      <c r="F275" s="12">
        <v>18</v>
      </c>
      <c r="G275" s="12">
        <v>24</v>
      </c>
      <c r="H275" s="11" t="s">
        <v>880</v>
      </c>
      <c r="I275" s="21">
        <f t="shared" si="5"/>
        <v>92.73595462128243</v>
      </c>
      <c r="J275" s="27" t="s">
        <v>895</v>
      </c>
    </row>
    <row r="276" spans="1:10" ht="13.5">
      <c r="A276" s="10">
        <v>269</v>
      </c>
      <c r="B276" s="10" t="s">
        <v>896</v>
      </c>
      <c r="C276" s="10" t="s">
        <v>897</v>
      </c>
      <c r="D276" s="8">
        <v>250</v>
      </c>
      <c r="E276" s="10">
        <v>233.5</v>
      </c>
      <c r="F276" s="8">
        <v>16.5</v>
      </c>
      <c r="G276" s="8">
        <v>22</v>
      </c>
      <c r="H276" s="15" t="s">
        <v>620</v>
      </c>
      <c r="I276" s="21">
        <f t="shared" si="5"/>
        <v>93.651648353978</v>
      </c>
      <c r="J276" s="27" t="s">
        <v>898</v>
      </c>
    </row>
    <row r="277" spans="1:10" ht="13.5">
      <c r="A277" s="10">
        <v>270</v>
      </c>
      <c r="B277" s="10" t="s">
        <v>899</v>
      </c>
      <c r="C277" s="10" t="s">
        <v>900</v>
      </c>
      <c r="D277" s="10">
        <v>237</v>
      </c>
      <c r="E277" s="10">
        <v>219.5</v>
      </c>
      <c r="F277" s="10">
        <v>17.5</v>
      </c>
      <c r="G277" s="12">
        <v>23.22</v>
      </c>
      <c r="H277" s="11" t="s">
        <v>212</v>
      </c>
      <c r="I277" s="21">
        <f t="shared" si="5"/>
        <v>93.44026566927937</v>
      </c>
      <c r="J277" s="27" t="s">
        <v>901</v>
      </c>
    </row>
    <row r="278" spans="1:10" ht="13.5">
      <c r="A278" s="10">
        <v>271</v>
      </c>
      <c r="B278" s="10" t="s">
        <v>902</v>
      </c>
      <c r="C278" s="10" t="s">
        <v>902</v>
      </c>
      <c r="D278" s="8">
        <v>228.6</v>
      </c>
      <c r="E278" s="10">
        <v>210.6</v>
      </c>
      <c r="F278" s="8">
        <v>18</v>
      </c>
      <c r="G278" s="8">
        <v>23.75</v>
      </c>
      <c r="H278" s="9" t="s">
        <v>903</v>
      </c>
      <c r="I278" s="21">
        <f t="shared" si="5"/>
        <v>92.06789330170733</v>
      </c>
      <c r="J278" s="27" t="s">
        <v>904</v>
      </c>
    </row>
    <row r="280" spans="2:3" ht="13.5">
      <c r="B280" s="1" t="s">
        <v>905</v>
      </c>
      <c r="C280" s="90" t="s">
        <v>906</v>
      </c>
    </row>
    <row r="281" ht="13.5">
      <c r="C281" s="90" t="s">
        <v>907</v>
      </c>
    </row>
    <row r="282" ht="13.5">
      <c r="C282" s="1" t="s">
        <v>908</v>
      </c>
    </row>
    <row r="283" ht="13.5">
      <c r="C283" s="1" t="s">
        <v>909</v>
      </c>
    </row>
    <row r="284" ht="13.5">
      <c r="C284" s="1" t="s">
        <v>910</v>
      </c>
    </row>
    <row r="285" ht="13.5">
      <c r="C285" s="1" t="s">
        <v>911</v>
      </c>
    </row>
    <row r="286" spans="2:10" ht="13.5">
      <c r="B286" s="91" t="s">
        <v>912</v>
      </c>
      <c r="C286" s="92"/>
      <c r="D286" s="93" t="s">
        <v>913</v>
      </c>
      <c r="E286" s="93" t="s">
        <v>914</v>
      </c>
      <c r="F286" s="94" t="s">
        <v>915</v>
      </c>
      <c r="G286" s="95" t="s">
        <v>916</v>
      </c>
      <c r="H286" s="96"/>
      <c r="I286" s="97" t="s">
        <v>917</v>
      </c>
      <c r="J286" s="92"/>
    </row>
    <row r="287" spans="2:10" ht="13.5">
      <c r="B287" s="97" t="s">
        <v>918</v>
      </c>
      <c r="C287" s="92"/>
      <c r="D287" s="93" t="s">
        <v>919</v>
      </c>
      <c r="E287" s="93" t="s">
        <v>920</v>
      </c>
      <c r="F287" s="93" t="s">
        <v>921</v>
      </c>
      <c r="G287" s="93" t="s">
        <v>922</v>
      </c>
      <c r="H287" s="93"/>
      <c r="I287" s="97" t="s">
        <v>923</v>
      </c>
      <c r="J287" s="92"/>
    </row>
    <row r="288" spans="2:10" ht="13.5">
      <c r="B288" s="97" t="s">
        <v>924</v>
      </c>
      <c r="C288" s="92"/>
      <c r="D288" s="93" t="s">
        <v>925</v>
      </c>
      <c r="E288" s="93" t="s">
        <v>926</v>
      </c>
      <c r="F288" s="93" t="s">
        <v>927</v>
      </c>
      <c r="G288" s="93" t="s">
        <v>928</v>
      </c>
      <c r="H288" s="93"/>
      <c r="I288" s="99">
        <v>196.85</v>
      </c>
      <c r="J288" s="100"/>
    </row>
  </sheetData>
  <sheetProtection/>
  <mergeCells count="19">
    <mergeCell ref="B286:C286"/>
    <mergeCell ref="G286:H286"/>
    <mergeCell ref="I286:J286"/>
    <mergeCell ref="B287:C287"/>
    <mergeCell ref="I287:J287"/>
    <mergeCell ref="B288:C288"/>
    <mergeCell ref="I288:J288"/>
    <mergeCell ref="A135:A136"/>
    <mergeCell ref="A137:A138"/>
    <mergeCell ref="B135:B136"/>
    <mergeCell ref="B137:B138"/>
    <mergeCell ref="C135:C136"/>
    <mergeCell ref="C137:C138"/>
    <mergeCell ref="J6:J7"/>
    <mergeCell ref="J31:J32"/>
    <mergeCell ref="J33:J34"/>
    <mergeCell ref="J137:J138"/>
    <mergeCell ref="J151:J152"/>
    <mergeCell ref="J211:J21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Yosh</cp:lastModifiedBy>
  <dcterms:created xsi:type="dcterms:W3CDTF">2004-04-30T07:50:24Z</dcterms:created>
  <dcterms:modified xsi:type="dcterms:W3CDTF">2024-02-03T10:50:42Z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1041-11.8.2.10334</vt:lpwstr>
  </property>
</Properties>
</file>