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1291" tabRatio="840" activeTab="0"/>
  </bookViews>
  <sheets>
    <sheet name="dB" sheetId="1" r:id="rId1"/>
    <sheet name="RMS" sheetId="2" r:id="rId2"/>
    <sheet name="Unit" sheetId="3" r:id="rId3"/>
    <sheet name="HPF=CR" sheetId="4" r:id="rId4"/>
    <sheet name="LPF=RC" sheetId="5" r:id="rId5"/>
    <sheet name="電解コンデンサー寿命" sheetId="6" r:id="rId6"/>
  </sheets>
  <definedNames/>
  <calcPr fullCalcOnLoad="1"/>
</workbook>
</file>

<file path=xl/sharedStrings.xml><?xml version="1.0" encoding="utf-8"?>
<sst xmlns="http://schemas.openxmlformats.org/spreadsheetml/2006/main" count="357" uniqueCount="229">
  <si>
    <r>
      <t>Decibel</t>
    </r>
    <r>
      <rPr>
        <sz val="20"/>
        <rFont val="ＭＳ Ｐ明朝"/>
        <family val="1"/>
      </rPr>
      <t>換算</t>
    </r>
  </si>
  <si>
    <t>黄色のセルの数値を変えると灰色のセルに結果が表示されます。</t>
  </si>
  <si>
    <t>電圧比</t>
  </si>
  <si>
    <t>電力比</t>
  </si>
  <si>
    <t>雑音電圧もしくは雑音電流の場合</t>
  </si>
  <si>
    <t>アンプのSN</t>
  </si>
  <si>
    <t>dB</t>
  </si>
  <si>
    <r>
      <t>10^(x db/</t>
    </r>
    <r>
      <rPr>
        <b/>
        <sz val="11"/>
        <rFont val="ＭＳ Ｐ明朝"/>
        <family val="1"/>
      </rPr>
      <t>20</t>
    </r>
    <r>
      <rPr>
        <sz val="11"/>
        <rFont val="ＭＳ Ｐ明朝"/>
        <family val="1"/>
      </rPr>
      <t>)</t>
    </r>
  </si>
  <si>
    <r>
      <t>10^(x db/</t>
    </r>
    <r>
      <rPr>
        <b/>
        <sz val="11"/>
        <rFont val="ＭＳ Ｐ明朝"/>
        <family val="1"/>
      </rPr>
      <t>10</t>
    </r>
    <r>
      <rPr>
        <sz val="11"/>
        <rFont val="ＭＳ Ｐ明朝"/>
        <family val="1"/>
      </rPr>
      <t>)</t>
    </r>
  </si>
  <si>
    <t>S/N or gain</t>
  </si>
  <si>
    <r>
      <t>20</t>
    </r>
    <r>
      <rPr>
        <sz val="11"/>
        <rFont val="Times New Roman"/>
        <family val="1"/>
      </rPr>
      <t>*LOG10(S/N)</t>
    </r>
  </si>
  <si>
    <t>S</t>
  </si>
  <si>
    <t>mV</t>
  </si>
  <si>
    <t>最大出力</t>
  </si>
  <si>
    <t>V</t>
  </si>
  <si>
    <t>N</t>
  </si>
  <si>
    <t>残留ノイズ</t>
  </si>
  <si>
    <t>μV</t>
  </si>
  <si>
    <t>S/N</t>
  </si>
  <si>
    <r>
      <t>d</t>
    </r>
    <r>
      <rPr>
        <sz val="11"/>
        <rFont val="Times New Roman"/>
        <family val="1"/>
      </rPr>
      <t>B</t>
    </r>
  </si>
  <si>
    <t>SN</t>
  </si>
  <si>
    <t>ｄB</t>
  </si>
  <si>
    <t>電力を扱うスピーカーの場合</t>
  </si>
  <si>
    <t>同じ音圧が要求される場合</t>
  </si>
  <si>
    <t>以下は概数です</t>
  </si>
  <si>
    <t>感度</t>
  </si>
  <si>
    <t>dB W/m</t>
  </si>
  <si>
    <r>
      <rPr>
        <sz val="11"/>
        <rFont val="ＭＳ Ｐ明朝"/>
        <family val="1"/>
      </rPr>
      <t>スピーカー感度＋</t>
    </r>
    <r>
      <rPr>
        <sz val="11"/>
        <rFont val="Times New Roman"/>
        <family val="1"/>
      </rPr>
      <t>3</t>
    </r>
    <r>
      <rPr>
        <sz val="11"/>
        <rFont val="Times New Roman"/>
        <family val="1"/>
      </rPr>
      <t>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</si>
  <si>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1/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で済み</t>
    </r>
  </si>
  <si>
    <t>A(current)</t>
  </si>
  <si>
    <t>アンプ出力</t>
  </si>
  <si>
    <t>W</t>
  </si>
  <si>
    <r>
      <t>スピーカー感度ー</t>
    </r>
    <r>
      <rPr>
        <sz val="11"/>
        <rFont val="Times New Roman"/>
        <family val="1"/>
      </rPr>
      <t>3dB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</si>
  <si>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倍必要</t>
    </r>
  </si>
  <si>
    <t>V(DC or ACV in rms)</t>
  </si>
  <si>
    <t>音圧レベル</t>
  </si>
  <si>
    <r>
      <rPr>
        <sz val="11"/>
        <rFont val="ＭＳ Ｐ明朝"/>
        <family val="1"/>
      </rPr>
      <t>スピーカー感度＋</t>
    </r>
    <r>
      <rPr>
        <sz val="11"/>
        <rFont val="Times New Roman"/>
        <family val="1"/>
      </rPr>
      <t>6</t>
    </r>
    <r>
      <rPr>
        <sz val="11"/>
        <rFont val="Times New Roman"/>
        <family val="1"/>
      </rPr>
      <t>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</si>
  <si>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1/4</t>
    </r>
    <r>
      <rPr>
        <sz val="11"/>
        <rFont val="ＭＳ Ｐ明朝"/>
        <family val="1"/>
      </rPr>
      <t>で済み</t>
    </r>
  </si>
  <si>
    <r>
      <rPr>
        <sz val="11"/>
        <rFont val="ＭＳ Ｐ明朝"/>
        <family val="1"/>
      </rPr>
      <t>スピーカー感度ー</t>
    </r>
    <r>
      <rPr>
        <sz val="11"/>
        <rFont val="Times New Roman"/>
        <family val="1"/>
      </rPr>
      <t>6</t>
    </r>
    <r>
      <rPr>
        <sz val="11"/>
        <rFont val="Times New Roman"/>
        <family val="1"/>
      </rPr>
      <t>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</si>
  <si>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4</t>
    </r>
    <r>
      <rPr>
        <sz val="11"/>
        <rFont val="ＭＳ Ｐ明朝"/>
        <family val="1"/>
      </rPr>
      <t>倍必要</t>
    </r>
  </si>
  <si>
    <r>
      <t>O</t>
    </r>
    <r>
      <rPr>
        <sz val="11"/>
        <rFont val="Times New Roman"/>
        <family val="1"/>
      </rPr>
      <t>hm</t>
    </r>
  </si>
  <si>
    <r>
      <rPr>
        <sz val="11"/>
        <rFont val="ＭＳ Ｐ明朝"/>
        <family val="1"/>
      </rPr>
      <t>スピーカー感度＋</t>
    </r>
    <r>
      <rPr>
        <sz val="11"/>
        <rFont val="Times New Roman"/>
        <family val="1"/>
      </rPr>
      <t>7</t>
    </r>
    <r>
      <rPr>
        <sz val="11"/>
        <rFont val="Times New Roman"/>
        <family val="1"/>
      </rPr>
      <t>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</si>
  <si>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1/5</t>
    </r>
    <r>
      <rPr>
        <sz val="11"/>
        <rFont val="ＭＳ Ｐ明朝"/>
        <family val="1"/>
      </rPr>
      <t>で済み</t>
    </r>
  </si>
  <si>
    <r>
      <rPr>
        <sz val="11"/>
        <rFont val="ＭＳ Ｐ明朝"/>
        <family val="1"/>
      </rPr>
      <t>スピーカー感度ー</t>
    </r>
    <r>
      <rPr>
        <sz val="11"/>
        <rFont val="Times New Roman"/>
        <family val="1"/>
      </rPr>
      <t>7</t>
    </r>
    <r>
      <rPr>
        <sz val="11"/>
        <rFont val="Times New Roman"/>
        <family val="1"/>
      </rPr>
      <t>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</si>
  <si>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5</t>
    </r>
    <r>
      <rPr>
        <sz val="11"/>
        <rFont val="ＭＳ Ｐ明朝"/>
        <family val="1"/>
      </rPr>
      <t>倍必要</t>
    </r>
  </si>
  <si>
    <r>
      <rPr>
        <sz val="11"/>
        <rFont val="ＭＳ Ｐ明朝"/>
        <family val="1"/>
      </rPr>
      <t>スピーカー感度＋</t>
    </r>
    <r>
      <rPr>
        <sz val="11"/>
        <rFont val="Times New Roman"/>
        <family val="1"/>
      </rPr>
      <t>10</t>
    </r>
    <r>
      <rPr>
        <sz val="11"/>
        <rFont val="Times New Roman"/>
        <family val="1"/>
      </rPr>
      <t>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</si>
  <si>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1/</t>
    </r>
    <r>
      <rPr>
        <sz val="11"/>
        <rFont val="Times New Roman"/>
        <family val="1"/>
      </rPr>
      <t>10</t>
    </r>
    <r>
      <rPr>
        <sz val="11"/>
        <rFont val="ＭＳ Ｐ明朝"/>
        <family val="1"/>
      </rPr>
      <t>で済み</t>
    </r>
  </si>
  <si>
    <r>
      <t>スピーカー感度ー</t>
    </r>
    <r>
      <rPr>
        <sz val="11"/>
        <rFont val="Times New Roman"/>
        <family val="1"/>
      </rPr>
      <t>10dB</t>
    </r>
    <r>
      <rPr>
        <sz val="11"/>
        <rFont val="ＭＳ Ｐ明朝"/>
        <family val="1"/>
      </rPr>
      <t>の違いは</t>
    </r>
  </si>
  <si>
    <r>
      <t>アンプ出力は</t>
    </r>
    <r>
      <rPr>
        <sz val="11"/>
        <rFont val="Times New Roman"/>
        <family val="1"/>
      </rPr>
      <t>10</t>
    </r>
    <r>
      <rPr>
        <sz val="11"/>
        <rFont val="ＭＳ Ｐ明朝"/>
        <family val="1"/>
      </rPr>
      <t>倍必要</t>
    </r>
  </si>
  <si>
    <t>（左の灰色のセルは端数がでるので概数です）</t>
  </si>
  <si>
    <t>Pseudo SN and True SN</t>
  </si>
  <si>
    <t>オームの法則</t>
  </si>
  <si>
    <r>
      <t>S</t>
    </r>
    <r>
      <rPr>
        <sz val="11"/>
        <rFont val="Times New Roman"/>
        <family val="1"/>
      </rPr>
      <t>ignal containing Noise</t>
    </r>
  </si>
  <si>
    <r>
      <t>m</t>
    </r>
    <r>
      <rPr>
        <sz val="11"/>
        <rFont val="Times New Roman"/>
        <family val="1"/>
      </rPr>
      <t>V</t>
    </r>
  </si>
  <si>
    <t>A（電流）＝V（電圧）/R(抵抗）</t>
  </si>
  <si>
    <r>
      <t>V=A</t>
    </r>
    <r>
      <rPr>
        <sz val="11"/>
        <rFont val="ＭＳ ゴシック"/>
        <family val="3"/>
      </rPr>
      <t>・</t>
    </r>
    <r>
      <rPr>
        <sz val="11"/>
        <rFont val="Times New Roman"/>
        <family val="1"/>
      </rPr>
      <t>R</t>
    </r>
  </si>
  <si>
    <r>
      <t>N</t>
    </r>
    <r>
      <rPr>
        <sz val="11"/>
        <rFont val="Times New Roman"/>
        <family val="1"/>
      </rPr>
      <t>oise</t>
    </r>
  </si>
  <si>
    <t>W(電力）=V・A＝V^2/R＝A^2・R</t>
  </si>
  <si>
    <r>
      <t>S</t>
    </r>
    <r>
      <rPr>
        <sz val="11"/>
        <rFont val="Times New Roman"/>
        <family val="1"/>
      </rPr>
      <t>ignal minus Noise</t>
    </r>
  </si>
  <si>
    <r>
      <t>S</t>
    </r>
    <r>
      <rPr>
        <sz val="11"/>
        <rFont val="Times New Roman"/>
        <family val="1"/>
      </rPr>
      <t>ignal containing noise against Noise</t>
    </r>
  </si>
  <si>
    <r>
      <t>S</t>
    </r>
    <r>
      <rPr>
        <sz val="11"/>
        <rFont val="Times New Roman"/>
        <family val="1"/>
      </rPr>
      <t>ignal minus noise devided by Noise value</t>
    </r>
  </si>
  <si>
    <t>（クラシック）音楽の最大レベルは３００Hzで１００ｄB前後</t>
  </si>
  <si>
    <r>
      <t>P</t>
    </r>
    <r>
      <rPr>
        <sz val="11"/>
        <rFont val="Times New Roman"/>
        <family val="1"/>
      </rPr>
      <t>seudo or commonly accpted SN</t>
    </r>
  </si>
  <si>
    <r>
      <t>T</t>
    </r>
    <r>
      <rPr>
        <sz val="11"/>
        <rFont val="Times New Roman"/>
        <family val="1"/>
      </rPr>
      <t>rue SN Value?</t>
    </r>
  </si>
  <si>
    <r>
      <t>v</t>
    </r>
    <r>
      <rPr>
        <sz val="11"/>
        <rFont val="Times New Roman"/>
        <family val="1"/>
      </rPr>
      <t>s.</t>
    </r>
  </si>
  <si>
    <t>Difference</t>
  </si>
  <si>
    <t>is ignorable when SN is more than 30dB</t>
  </si>
  <si>
    <t>If S/N is less than 30dB</t>
  </si>
  <si>
    <t>DIFFERENCE</t>
  </si>
  <si>
    <t>If S/N is less than 20dB</t>
  </si>
  <si>
    <t>RMS (root mean square)</t>
  </si>
  <si>
    <r>
      <t>S</t>
    </r>
    <r>
      <rPr>
        <sz val="11"/>
        <rFont val="Times New Roman"/>
        <family val="1"/>
      </rPr>
      <t>IN WAVE</t>
    </r>
  </si>
  <si>
    <r>
      <t>x</t>
    </r>
    <r>
      <rPr>
        <sz val="11"/>
        <rFont val="Times New Roman"/>
        <family val="1"/>
      </rPr>
      <t xml:space="preserve"> (radian)</t>
    </r>
  </si>
  <si>
    <t>y</t>
  </si>
  <si>
    <r>
      <t>y</t>
    </r>
    <r>
      <rPr>
        <sz val="11"/>
        <rFont val="Times New Roman"/>
        <family val="1"/>
      </rPr>
      <t>^2</t>
    </r>
  </si>
  <si>
    <r>
      <t>SUM</t>
    </r>
    <r>
      <rPr>
        <b/>
        <sz val="11"/>
        <rFont val="ＭＳ Ｐゴシック"/>
        <family val="3"/>
      </rPr>
      <t>　</t>
    </r>
  </si>
  <si>
    <t>＋部分或いは</t>
  </si>
  <si>
    <t>ー部分の合計</t>
  </si>
  <si>
    <t>MEAN</t>
  </si>
  <si>
    <t>単純平均</t>
  </si>
  <si>
    <t>RMS</t>
  </si>
  <si>
    <t>実効値（交流を直流に換算した値に相当）</t>
  </si>
  <si>
    <t>正弦波ではpeak/√２</t>
  </si>
  <si>
    <t>Peak</t>
  </si>
  <si>
    <r>
      <t>P</t>
    </r>
    <r>
      <rPr>
        <sz val="11"/>
        <rFont val="Times New Roman"/>
        <family val="1"/>
      </rPr>
      <t>seudo SN and True SN</t>
    </r>
  </si>
  <si>
    <t>is ignorable for more than 40dB</t>
  </si>
  <si>
    <t>UNIT CONVERSION</t>
  </si>
  <si>
    <t>Metric</t>
  </si>
  <si>
    <t>Length</t>
  </si>
  <si>
    <t>Weight</t>
  </si>
  <si>
    <t>Time</t>
  </si>
  <si>
    <t>SI unit</t>
  </si>
  <si>
    <t>m</t>
  </si>
  <si>
    <t>kg</t>
  </si>
  <si>
    <t>second</t>
  </si>
  <si>
    <t>CGS unit</t>
  </si>
  <si>
    <t>cm</t>
  </si>
  <si>
    <t>g</t>
  </si>
  <si>
    <t>Non-metric</t>
  </si>
  <si>
    <t>Inch to mm</t>
  </si>
  <si>
    <t>inch</t>
  </si>
  <si>
    <t>mm</t>
  </si>
  <si>
    <t>mm to inch</t>
  </si>
  <si>
    <t>pound to gram</t>
  </si>
  <si>
    <t>pound</t>
  </si>
  <si>
    <t>gramm</t>
  </si>
  <si>
    <t>oz(ounce=1/16pound)</t>
  </si>
  <si>
    <t>oz</t>
  </si>
  <si>
    <t>MKS &amp; CGS</t>
  </si>
  <si>
    <t>COMPLIANCE</t>
  </si>
  <si>
    <t>cm/dyne</t>
  </si>
  <si>
    <t>m/N or mm/mN</t>
  </si>
  <si>
    <t>mm/N or µm/mN</t>
  </si>
  <si>
    <t>milligram</t>
  </si>
  <si>
    <t>mN</t>
  </si>
  <si>
    <t>micron</t>
  </si>
  <si>
    <t>mm/N</t>
  </si>
  <si>
    <t>10^(-6)cm/dyne</t>
  </si>
  <si>
    <t>FORCE CONVERSION</t>
  </si>
  <si>
    <t>1N=100,000dyne</t>
  </si>
  <si>
    <t>1gf=9.8mN</t>
  </si>
  <si>
    <t>1kgf=9.8N</t>
  </si>
  <si>
    <t>gf</t>
  </si>
  <si>
    <t>kgf</t>
  </si>
  <si>
    <t>dyne(g cm/s2)</t>
  </si>
  <si>
    <t>mN (g m/s2)</t>
  </si>
  <si>
    <t>N (kg m/s2)</t>
  </si>
  <si>
    <t>kN</t>
  </si>
  <si>
    <t>ｍilli (10^-3)</t>
  </si>
  <si>
    <t>micro (10^-6)</t>
  </si>
  <si>
    <t>nano (10^-9)</t>
  </si>
  <si>
    <t>pico (10^-12)</t>
  </si>
  <si>
    <t>Temperature</t>
  </si>
  <si>
    <t>Fahrenheit</t>
  </si>
  <si>
    <t>Celcius</t>
  </si>
  <si>
    <t>M</t>
  </si>
  <si>
    <t>CM</t>
  </si>
  <si>
    <t>MM</t>
  </si>
  <si>
    <t>MICRON</t>
  </si>
  <si>
    <t>ANGSTROM</t>
  </si>
  <si>
    <t>ANALOGUE FILTER</t>
  </si>
  <si>
    <r>
      <t>C</t>
    </r>
    <r>
      <rPr>
        <sz val="11"/>
        <rFont val="Times New Roman"/>
        <family val="1"/>
      </rPr>
      <t>apacitor</t>
    </r>
  </si>
  <si>
    <t>│</t>
  </si>
  <si>
    <r>
      <t>I</t>
    </r>
    <r>
      <rPr>
        <sz val="11"/>
        <rFont val="Times New Roman"/>
        <family val="1"/>
      </rPr>
      <t>N</t>
    </r>
  </si>
  <si>
    <t>Resistor</t>
  </si>
  <si>
    <r>
      <t>O</t>
    </r>
    <r>
      <rPr>
        <sz val="11"/>
        <rFont val="Times New Roman"/>
        <family val="1"/>
      </rPr>
      <t>UT</t>
    </r>
  </si>
  <si>
    <r>
      <t>C</t>
    </r>
    <r>
      <rPr>
        <sz val="11"/>
        <rFont val="Times New Roman"/>
        <family val="1"/>
      </rPr>
      <t>utoff Fr=1/2piCR</t>
    </r>
  </si>
  <si>
    <t>Capacitor</t>
  </si>
  <si>
    <t>µF</t>
  </si>
  <si>
    <r>
      <t>K</t>
    </r>
    <r>
      <rPr>
        <b/>
        <sz val="11"/>
        <rFont val="ＭＳ Ｐ明朝"/>
        <family val="1"/>
      </rPr>
      <t>Ω</t>
    </r>
  </si>
  <si>
    <r>
      <t>F</t>
    </r>
    <r>
      <rPr>
        <sz val="11"/>
        <rFont val="Times New Roman"/>
        <family val="1"/>
      </rPr>
      <t>(HPF)=</t>
    </r>
  </si>
  <si>
    <r>
      <t>F</t>
    </r>
    <r>
      <rPr>
        <sz val="11"/>
        <rFont val="Times New Roman"/>
        <family val="1"/>
      </rPr>
      <t>0 (-3dB)</t>
    </r>
  </si>
  <si>
    <t>Hz</t>
  </si>
  <si>
    <t>CUTOFF FREQUENCY</t>
  </si>
  <si>
    <t>-3dB point for 6dB/Oct filter</t>
  </si>
  <si>
    <r>
      <t>1/(2*PI()*(</t>
    </r>
    <r>
      <rPr>
        <sz val="11"/>
        <rFont val="Times New Roman"/>
        <family val="1"/>
      </rPr>
      <t>C</t>
    </r>
    <r>
      <rPr>
        <sz val="11"/>
        <rFont val="Times New Roman"/>
        <family val="1"/>
      </rPr>
      <t>/1000</t>
    </r>
    <r>
      <rPr>
        <sz val="11"/>
        <rFont val="Times New Roman"/>
        <family val="1"/>
      </rPr>
      <t>)*</t>
    </r>
    <r>
      <rPr>
        <sz val="11"/>
        <rFont val="Times New Roman"/>
        <family val="1"/>
      </rPr>
      <t>R</t>
    </r>
    <r>
      <rPr>
        <sz val="11"/>
        <rFont val="Times New Roman"/>
        <family val="1"/>
      </rPr>
      <t>)</t>
    </r>
  </si>
  <si>
    <t>nF</t>
  </si>
  <si>
    <t>pF</t>
  </si>
  <si>
    <t>kΩ</t>
  </si>
  <si>
    <t>Ω</t>
  </si>
  <si>
    <r>
      <t>F</t>
    </r>
    <r>
      <rPr>
        <sz val="11"/>
        <rFont val="Times New Roman"/>
        <family val="1"/>
      </rPr>
      <t>(LPF)=</t>
    </r>
  </si>
  <si>
    <t>kHz</t>
  </si>
  <si>
    <t>LOW PASS FREQUENCY</t>
  </si>
  <si>
    <t>-3dB point for -6dB/Oct filter</t>
  </si>
  <si>
    <t>温度と寿命</t>
  </si>
  <si>
    <t>L=Lo x 2^((Tmax-Ta)/10)</t>
  </si>
  <si>
    <t>実働3時間/日とすれば</t>
  </si>
  <si>
    <t>Ｌ</t>
  </si>
  <si>
    <t>実使用時の寿命</t>
  </si>
  <si>
    <t>Hr</t>
  </si>
  <si>
    <t>years</t>
  </si>
  <si>
    <t>Ｌo</t>
  </si>
  <si>
    <t>最高使用温度での寿命</t>
  </si>
  <si>
    <t>Ｔｍａｘ</t>
  </si>
  <si>
    <t>最高使用温度(定格）</t>
  </si>
  <si>
    <t>℃</t>
  </si>
  <si>
    <t>Ta</t>
  </si>
  <si>
    <t>周辺温度</t>
  </si>
  <si>
    <t>リプル電流と寿命</t>
  </si>
  <si>
    <t>表面温度</t>
  </si>
  <si>
    <t>ΔTc=I^2*R/(S*β）</t>
  </si>
  <si>
    <r>
      <t>Δ</t>
    </r>
    <r>
      <rPr>
        <sz val="11"/>
        <rFont val="Times New Roman"/>
        <family val="1"/>
      </rPr>
      <t>Tc</t>
    </r>
  </si>
  <si>
    <t>表面上昇温度</t>
  </si>
  <si>
    <t>I</t>
  </si>
  <si>
    <t>リプル電流</t>
  </si>
  <si>
    <t>A</t>
  </si>
  <si>
    <t>表面積</t>
  </si>
  <si>
    <t>R</t>
  </si>
  <si>
    <t>内部抵抗</t>
  </si>
  <si>
    <t>Ｓ</t>
  </si>
  <si>
    <t>ｃｍ２</t>
  </si>
  <si>
    <t>ｈ</t>
  </si>
  <si>
    <t>β</t>
  </si>
  <si>
    <t>放熱係数</t>
  </si>
  <si>
    <t>W/℃・ｃｍ２</t>
  </si>
  <si>
    <t>ｒ</t>
  </si>
  <si>
    <t>温度勾配</t>
  </si>
  <si>
    <r>
      <t>Δ</t>
    </r>
    <r>
      <rPr>
        <b/>
        <sz val="11"/>
        <rFont val="Times New Roman"/>
        <family val="1"/>
      </rPr>
      <t>T</t>
    </r>
    <r>
      <rPr>
        <b/>
        <sz val="11"/>
        <rFont val="ＭＳ Ｐ明朝"/>
        <family val="1"/>
      </rPr>
      <t>ｊ＝α・Δ</t>
    </r>
    <r>
      <rPr>
        <b/>
        <sz val="11"/>
        <rFont val="Times New Roman"/>
        <family val="1"/>
      </rPr>
      <t>Tc</t>
    </r>
    <r>
      <rPr>
        <b/>
        <sz val="11"/>
        <rFont val="ＭＳ Ｐ明朝"/>
        <family val="1"/>
      </rPr>
      <t>＝Δ</t>
    </r>
    <r>
      <rPr>
        <b/>
        <sz val="11"/>
        <rFont val="Times New Roman"/>
        <family val="1"/>
      </rPr>
      <t>Ts</t>
    </r>
    <r>
      <rPr>
        <b/>
        <sz val="11"/>
        <rFont val="ＭＳ Ｐ明朝"/>
        <family val="1"/>
      </rPr>
      <t>・（</t>
    </r>
    <r>
      <rPr>
        <b/>
        <sz val="11"/>
        <rFont val="Times New Roman"/>
        <family val="1"/>
      </rPr>
      <t>I/Io)^2</t>
    </r>
  </si>
  <si>
    <r>
      <t>ＣＥ６９２形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温度差係数</t>
    </r>
  </si>
  <si>
    <r>
      <t>Δ</t>
    </r>
    <r>
      <rPr>
        <sz val="11"/>
        <rFont val="Times New Roman"/>
        <family val="1"/>
      </rPr>
      <t>T</t>
    </r>
    <r>
      <rPr>
        <sz val="11"/>
        <rFont val="ＭＳ Ｐ明朝"/>
        <family val="1"/>
      </rPr>
      <t>ｊ</t>
    </r>
  </si>
  <si>
    <t>リプル電流による温度上昇（素子中心）</t>
  </si>
  <si>
    <t>ケース外径</t>
  </si>
  <si>
    <t>φ20</t>
  </si>
  <si>
    <t xml:space="preserve">φ22 </t>
  </si>
  <si>
    <t>φ25</t>
  </si>
  <si>
    <t>φ30</t>
  </si>
  <si>
    <t>φ35</t>
  </si>
  <si>
    <t>α</t>
  </si>
  <si>
    <t>表面と中心の温度差係数</t>
  </si>
  <si>
    <t xml:space="preserve">α </t>
  </si>
  <si>
    <t>リプルによる表面上昇温度</t>
  </si>
  <si>
    <r>
      <t>Δ</t>
    </r>
    <r>
      <rPr>
        <sz val="11"/>
        <rFont val="Times New Roman"/>
        <family val="1"/>
      </rPr>
      <t>T</t>
    </r>
    <r>
      <rPr>
        <sz val="11"/>
        <rFont val="ＭＳ Ｐ明朝"/>
        <family val="1"/>
      </rPr>
      <t>ｓ</t>
    </r>
  </si>
  <si>
    <t>最大許容リプル電流設定時リプル発熱</t>
  </si>
  <si>
    <t>実使用時のリプル電流を規定された</t>
  </si>
  <si>
    <r>
      <t>周波数（</t>
    </r>
    <r>
      <rPr>
        <sz val="11"/>
        <rFont val="Times New Roman"/>
        <family val="1"/>
      </rPr>
      <t>120Hz</t>
    </r>
    <r>
      <rPr>
        <sz val="11"/>
        <rFont val="ＭＳ Ｐ明朝"/>
        <family val="1"/>
      </rPr>
      <t>）に換算した値</t>
    </r>
  </si>
  <si>
    <t>Io</t>
  </si>
  <si>
    <t>最大許容リプル電流</t>
  </si>
  <si>
    <t>リプル温度上昇と寿命</t>
  </si>
  <si>
    <r>
      <t>L</t>
    </r>
    <r>
      <rPr>
        <b/>
        <sz val="11"/>
        <rFont val="ＭＳ Ｐ明朝"/>
        <family val="1"/>
      </rPr>
      <t>ｐ</t>
    </r>
    <r>
      <rPr>
        <b/>
        <sz val="11"/>
        <rFont val="Times New Roman"/>
        <family val="1"/>
      </rPr>
      <t>=Lo</t>
    </r>
    <r>
      <rPr>
        <b/>
        <sz val="11"/>
        <rFont val="ＭＳ Ｐ明朝"/>
        <family val="1"/>
      </rPr>
      <t>・２^（Tmax-Ta/10）・x2^（ΔTs/Ao-ΔTj/A)</t>
    </r>
  </si>
  <si>
    <t>Lp</t>
  </si>
  <si>
    <t>推定実力寿命</t>
  </si>
  <si>
    <t>potential life</t>
  </si>
  <si>
    <t>Lo</t>
  </si>
  <si>
    <t>Tmax</t>
  </si>
  <si>
    <t>最高使用温度</t>
  </si>
  <si>
    <t>加速係数2倍となる温度要素</t>
  </si>
  <si>
    <t>A=10-0.25ΔTｊ（０=/&lt;ΔTｊ=/&lt;20）</t>
  </si>
  <si>
    <t>Ao</t>
  </si>
  <si>
    <t>Ao=10-0.25ΔTs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</si>
</sst>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0_ "/>
    <numFmt numFmtId="179" formatCode="0.0_ "/>
    <numFmt numFmtId="180" formatCode="0.00_ "/>
    <numFmt numFmtId="181" formatCode="#,##0_ "/>
    <numFmt numFmtId="182" formatCode="#\ ??/??"/>
    <numFmt numFmtId="183" formatCode="#\ ?/?"/>
    <numFmt numFmtId="184" formatCode="0.0000_ "/>
    <numFmt numFmtId="185" formatCode="0.000_ "/>
    <numFmt numFmtId="186" formatCode="0.0000%"/>
    <numFmt numFmtId="187" formatCode="0.0_);[Red]\(0.0\)"/>
    <numFmt numFmtId="188" formatCode="0.00_);[Red]\(0.00\)"/>
  </numFmts>
  <fonts count="58">
    <font>
      <sz val="11"/>
      <name val="Times New Roman"/>
      <family val="1"/>
    </font>
    <font>
      <sz val="11"/>
      <name val="ＭＳ Ｐゴシック"/>
      <family val="3"/>
    </font>
    <font>
      <b/>
      <sz val="11"/>
      <name val="ＭＳ Ｐ明朝"/>
      <family val="1"/>
    </font>
    <font>
      <b/>
      <sz val="11"/>
      <name val="Times New Roman"/>
      <family val="1"/>
    </font>
    <font>
      <sz val="11"/>
      <name val="ＭＳ Ｐ明朝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ＭＳ Ｐ明朝"/>
      <family val="1"/>
    </font>
    <font>
      <sz val="20"/>
      <name val="Times New Roman"/>
      <family val="1"/>
    </font>
    <font>
      <i/>
      <sz val="11"/>
      <name val="Times New Roman"/>
      <family val="1"/>
    </font>
    <font>
      <sz val="11"/>
      <name val="ＭＳ 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Times New Roman"/>
      <family val="1"/>
    </font>
    <font>
      <b/>
      <sz val="16"/>
      <name val="ＭＳ Ｐ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sz val="18"/>
      <color indexed="54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20"/>
      <name val="ＭＳ Ｐ明朝"/>
      <family val="1"/>
    </font>
    <font>
      <sz val="10"/>
      <color indexed="8"/>
      <name val="Times New Roman"/>
      <family val="0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sz val="18"/>
      <color theme="3"/>
      <name val="Calibri Light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9" fillId="2" borderId="1" applyNumberFormat="0" applyAlignment="0" applyProtection="0"/>
    <xf numFmtId="176" fontId="4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" borderId="0" applyNumberFormat="0" applyBorder="0" applyAlignment="0" applyProtection="0"/>
    <xf numFmtId="177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0" fillId="6" borderId="2" applyNumberFormat="0" applyFont="0" applyAlignment="0" applyProtection="0"/>
    <xf numFmtId="0" fontId="43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8" fillId="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9" borderId="1" applyNumberFormat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53" fillId="11" borderId="8" applyNumberFormat="0" applyAlignment="0" applyProtection="0"/>
    <xf numFmtId="0" fontId="41" fillId="12" borderId="0" applyNumberFormat="0" applyBorder="0" applyAlignment="0" applyProtection="0"/>
    <xf numFmtId="0" fontId="54" fillId="0" borderId="9" applyNumberFormat="0" applyFill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8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79" fontId="0" fillId="0" borderId="0" xfId="0" applyNumberFormat="1" applyAlignment="1">
      <alignment/>
    </xf>
    <xf numFmtId="179" fontId="0" fillId="33" borderId="10" xfId="0" applyNumberFormat="1" applyFill="1" applyBorder="1" applyAlignment="1">
      <alignment/>
    </xf>
    <xf numFmtId="179" fontId="0" fillId="34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178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180" fontId="0" fillId="0" borderId="0" xfId="0" applyNumberFormat="1" applyAlignment="1">
      <alignment/>
    </xf>
    <xf numFmtId="178" fontId="3" fillId="33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63">
      <alignment/>
      <protection/>
    </xf>
    <xf numFmtId="0" fontId="3" fillId="0" borderId="0" xfId="63" applyFont="1">
      <alignment/>
      <protection/>
    </xf>
    <xf numFmtId="0" fontId="0" fillId="0" borderId="0" xfId="63" applyFont="1">
      <alignment/>
      <protection/>
    </xf>
    <xf numFmtId="0" fontId="4" fillId="0" borderId="14" xfId="63" applyFont="1" applyBorder="1" applyAlignment="1">
      <alignment horizontal="right"/>
      <protection/>
    </xf>
    <xf numFmtId="0" fontId="0" fillId="0" borderId="0" xfId="63" applyFont="1" applyBorder="1">
      <alignment/>
      <protection/>
    </xf>
    <xf numFmtId="0" fontId="4" fillId="0" borderId="14" xfId="63" applyFont="1" applyBorder="1" applyAlignment="1">
      <alignment horizontal="left"/>
      <protection/>
    </xf>
    <xf numFmtId="0" fontId="4" fillId="0" borderId="0" xfId="63" applyFont="1">
      <alignment/>
      <protection/>
    </xf>
    <xf numFmtId="0" fontId="0" fillId="0" borderId="0" xfId="63" applyFont="1" applyAlignment="1">
      <alignment horizontal="right"/>
      <protection/>
    </xf>
    <xf numFmtId="0" fontId="0" fillId="0" borderId="14" xfId="63" applyFont="1" applyBorder="1">
      <alignment/>
      <protection/>
    </xf>
    <xf numFmtId="0" fontId="4" fillId="0" borderId="14" xfId="63" applyFont="1" applyBorder="1">
      <alignment/>
      <protection/>
    </xf>
    <xf numFmtId="0" fontId="4" fillId="0" borderId="0" xfId="63" applyFont="1" applyAlignment="1">
      <alignment horizontal="right"/>
      <protection/>
    </xf>
    <xf numFmtId="0" fontId="0" fillId="34" borderId="10" xfId="63" applyFill="1" applyBorder="1">
      <alignment/>
      <protection/>
    </xf>
    <xf numFmtId="0" fontId="2" fillId="0" borderId="0" xfId="63" applyFont="1">
      <alignment/>
      <protection/>
    </xf>
    <xf numFmtId="0" fontId="0" fillId="0" borderId="10" xfId="63" applyFill="1" applyBorder="1">
      <alignment/>
      <protection/>
    </xf>
    <xf numFmtId="0" fontId="2" fillId="0" borderId="0" xfId="63" applyFont="1" applyFill="1">
      <alignment/>
      <protection/>
    </xf>
    <xf numFmtId="181" fontId="0" fillId="33" borderId="10" xfId="63" applyNumberFormat="1" applyFont="1" applyFill="1" applyBorder="1">
      <alignment/>
      <protection/>
    </xf>
    <xf numFmtId="0" fontId="3" fillId="0" borderId="0" xfId="63" applyFont="1" applyFill="1">
      <alignment/>
      <protection/>
    </xf>
    <xf numFmtId="0" fontId="0" fillId="0" borderId="0" xfId="63" applyFont="1" applyAlignment="1">
      <alignment horizontal="center"/>
      <protection/>
    </xf>
    <xf numFmtId="0" fontId="0" fillId="0" borderId="0" xfId="63" applyAlignment="1">
      <alignment horizontal="center"/>
      <protection/>
    </xf>
    <xf numFmtId="179" fontId="0" fillId="0" borderId="0" xfId="63" applyNumberFormat="1">
      <alignment/>
      <protection/>
    </xf>
    <xf numFmtId="0" fontId="5" fillId="0" borderId="0" xfId="63" applyFont="1">
      <alignment/>
      <protection/>
    </xf>
    <xf numFmtId="0" fontId="0" fillId="33" borderId="10" xfId="63" applyFont="1" applyFill="1" applyBorder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18" xfId="0" applyFill="1" applyBorder="1" applyAlignment="1">
      <alignment/>
    </xf>
    <xf numFmtId="182" fontId="0" fillId="34" borderId="14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33" borderId="14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2" fontId="0" fillId="33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4" xfId="0" applyFont="1" applyFill="1" applyBorder="1" applyAlignment="1">
      <alignment/>
    </xf>
    <xf numFmtId="183" fontId="0" fillId="34" borderId="14" xfId="0" applyNumberForma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3" fillId="0" borderId="0" xfId="63" applyFont="1" applyBorder="1">
      <alignment/>
      <protection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63" applyFont="1" applyBorder="1">
      <alignment/>
      <protection/>
    </xf>
    <xf numFmtId="0" fontId="0" fillId="34" borderId="20" xfId="0" applyFill="1" applyBorder="1" applyAlignment="1">
      <alignment/>
    </xf>
    <xf numFmtId="0" fontId="0" fillId="34" borderId="10" xfId="63" applyFont="1" applyFill="1" applyBorder="1">
      <alignment/>
      <protection/>
    </xf>
    <xf numFmtId="0" fontId="0" fillId="33" borderId="20" xfId="0" applyFill="1" applyBorder="1" applyAlignment="1">
      <alignment/>
    </xf>
    <xf numFmtId="179" fontId="3" fillId="33" borderId="1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0" fillId="0" borderId="0" xfId="0" applyFill="1" applyAlignment="1">
      <alignment/>
    </xf>
    <xf numFmtId="179" fontId="3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33" borderId="3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13" xfId="0" applyBorder="1" applyAlignment="1">
      <alignment/>
    </xf>
    <xf numFmtId="0" fontId="9" fillId="0" borderId="0" xfId="63" applyFont="1">
      <alignment/>
      <protection/>
    </xf>
    <xf numFmtId="184" fontId="0" fillId="0" borderId="0" xfId="63" applyNumberFormat="1" applyFont="1" applyAlignment="1">
      <alignment horizontal="center"/>
      <protection/>
    </xf>
    <xf numFmtId="184" fontId="0" fillId="0" borderId="0" xfId="63" applyNumberFormat="1" applyFont="1">
      <alignment/>
      <protection/>
    </xf>
    <xf numFmtId="184" fontId="0" fillId="0" borderId="0" xfId="63" applyNumberFormat="1">
      <alignment/>
      <protection/>
    </xf>
    <xf numFmtId="184" fontId="10" fillId="0" borderId="0" xfId="63" applyNumberFormat="1" applyFont="1" applyAlignment="1">
      <alignment horizontal="center"/>
      <protection/>
    </xf>
    <xf numFmtId="184" fontId="0" fillId="0" borderId="14" xfId="63" applyNumberFormat="1" applyFont="1" applyBorder="1" applyAlignment="1">
      <alignment horizontal="center"/>
      <protection/>
    </xf>
    <xf numFmtId="184" fontId="10" fillId="0" borderId="14" xfId="63" applyNumberFormat="1" applyFont="1" applyBorder="1" applyAlignment="1">
      <alignment horizontal="center"/>
      <protection/>
    </xf>
    <xf numFmtId="184" fontId="0" fillId="0" borderId="14" xfId="63" applyNumberFormat="1" applyFont="1" applyBorder="1">
      <alignment/>
      <protection/>
    </xf>
    <xf numFmtId="184" fontId="3" fillId="0" borderId="0" xfId="63" applyNumberFormat="1" applyFont="1">
      <alignment/>
      <protection/>
    </xf>
    <xf numFmtId="185" fontId="3" fillId="0" borderId="0" xfId="63" applyNumberFormat="1" applyFont="1">
      <alignment/>
      <protection/>
    </xf>
    <xf numFmtId="178" fontId="3" fillId="0" borderId="0" xfId="63" applyNumberFormat="1" applyFont="1">
      <alignment/>
      <protection/>
    </xf>
    <xf numFmtId="0" fontId="4" fillId="0" borderId="0" xfId="63" applyFont="1" applyAlignment="1">
      <alignment horizontal="center"/>
      <protection/>
    </xf>
    <xf numFmtId="0" fontId="11" fillId="0" borderId="0" xfId="63" applyFont="1" applyAlignment="1">
      <alignment horizontal="center"/>
      <protection/>
    </xf>
    <xf numFmtId="0" fontId="3" fillId="0" borderId="32" xfId="63" applyFont="1" applyBorder="1">
      <alignment/>
      <protection/>
    </xf>
    <xf numFmtId="10" fontId="3" fillId="0" borderId="33" xfId="63" applyNumberFormat="1" applyFont="1" applyBorder="1">
      <alignment/>
      <protection/>
    </xf>
    <xf numFmtId="0" fontId="12" fillId="0" borderId="33" xfId="63" applyFont="1" applyBorder="1">
      <alignment/>
      <protection/>
    </xf>
    <xf numFmtId="0" fontId="0" fillId="0" borderId="33" xfId="63" applyBorder="1">
      <alignment/>
      <protection/>
    </xf>
    <xf numFmtId="0" fontId="0" fillId="0" borderId="34" xfId="63" applyBorder="1">
      <alignment/>
      <protection/>
    </xf>
    <xf numFmtId="184" fontId="3" fillId="0" borderId="35" xfId="63" applyNumberFormat="1" applyFont="1" applyBorder="1">
      <alignment/>
      <protection/>
    </xf>
    <xf numFmtId="10" fontId="3" fillId="0" borderId="0" xfId="63" applyNumberFormat="1" applyFont="1">
      <alignment/>
      <protection/>
    </xf>
    <xf numFmtId="0" fontId="13" fillId="0" borderId="0" xfId="63" applyFont="1">
      <alignment/>
      <protection/>
    </xf>
    <xf numFmtId="0" fontId="0" fillId="0" borderId="36" xfId="63" applyBorder="1">
      <alignment/>
      <protection/>
    </xf>
    <xf numFmtId="184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0" fontId="3" fillId="0" borderId="38" xfId="63" applyFont="1" applyBorder="1">
      <alignment/>
      <protection/>
    </xf>
    <xf numFmtId="0" fontId="0" fillId="0" borderId="38" xfId="63" applyBorder="1">
      <alignment/>
      <protection/>
    </xf>
    <xf numFmtId="0" fontId="0" fillId="0" borderId="39" xfId="63" applyBorder="1">
      <alignment/>
      <protection/>
    </xf>
    <xf numFmtId="184" fontId="4" fillId="0" borderId="0" xfId="63" applyNumberFormat="1" applyFont="1" applyAlignment="1">
      <alignment horizontal="center"/>
      <protection/>
    </xf>
    <xf numFmtId="186" fontId="3" fillId="0" borderId="0" xfId="63" applyNumberFormat="1" applyFont="1">
      <alignment/>
      <protection/>
    </xf>
    <xf numFmtId="0" fontId="0" fillId="34" borderId="0" xfId="63" applyFill="1">
      <alignment/>
      <protection/>
    </xf>
    <xf numFmtId="0" fontId="0" fillId="33" borderId="0" xfId="63" applyFill="1">
      <alignment/>
      <protection/>
    </xf>
    <xf numFmtId="180" fontId="0" fillId="0" borderId="0" xfId="63" applyNumberFormat="1">
      <alignment/>
      <protection/>
    </xf>
    <xf numFmtId="0" fontId="3" fillId="0" borderId="0" xfId="63" applyFont="1" applyAlignment="1">
      <alignment horizontal="right"/>
      <protection/>
    </xf>
    <xf numFmtId="180" fontId="3" fillId="0" borderId="0" xfId="63" applyNumberFormat="1" applyFont="1">
      <alignment/>
      <protection/>
    </xf>
    <xf numFmtId="0" fontId="14" fillId="0" borderId="0" xfId="63" applyFont="1" applyAlignment="1">
      <alignment vertical="center"/>
      <protection/>
    </xf>
    <xf numFmtId="0" fontId="2" fillId="0" borderId="0" xfId="63" applyFont="1" applyAlignment="1">
      <alignment horizontal="center"/>
      <protection/>
    </xf>
    <xf numFmtId="0" fontId="1" fillId="0" borderId="0" xfId="63" applyFont="1">
      <alignment/>
      <protection/>
    </xf>
    <xf numFmtId="0" fontId="3" fillId="0" borderId="0" xfId="63" applyFont="1" applyBorder="1" applyAlignment="1">
      <alignment horizontal="right"/>
      <protection/>
    </xf>
    <xf numFmtId="0" fontId="3" fillId="34" borderId="22" xfId="63" applyFont="1" applyFill="1" applyBorder="1" applyAlignment="1">
      <alignment horizontal="center"/>
      <protection/>
    </xf>
    <xf numFmtId="0" fontId="0" fillId="33" borderId="23" xfId="63" applyFont="1" applyFill="1" applyBorder="1" applyAlignment="1">
      <alignment horizontal="center"/>
      <protection/>
    </xf>
    <xf numFmtId="0" fontId="0" fillId="33" borderId="24" xfId="63" applyFont="1" applyFill="1" applyBorder="1" applyAlignment="1">
      <alignment horizontal="center"/>
      <protection/>
    </xf>
    <xf numFmtId="0" fontId="0" fillId="0" borderId="32" xfId="63" applyFont="1" applyBorder="1">
      <alignment/>
      <protection/>
    </xf>
    <xf numFmtId="0" fontId="0" fillId="34" borderId="23" xfId="63" applyFont="1" applyFill="1" applyBorder="1">
      <alignment/>
      <protection/>
    </xf>
    <xf numFmtId="0" fontId="0" fillId="0" borderId="34" xfId="63" applyFont="1" applyBorder="1">
      <alignment/>
      <protection/>
    </xf>
    <xf numFmtId="0" fontId="0" fillId="33" borderId="27" xfId="63" applyFont="1" applyFill="1" applyBorder="1" applyAlignment="1">
      <alignment horizontal="center"/>
      <protection/>
    </xf>
    <xf numFmtId="0" fontId="0" fillId="33" borderId="28" xfId="63" applyFont="1" applyFill="1" applyBorder="1" applyAlignment="1">
      <alignment horizontal="center"/>
      <protection/>
    </xf>
    <xf numFmtId="0" fontId="0" fillId="33" borderId="29" xfId="63" applyFont="1" applyFill="1" applyBorder="1" applyAlignment="1">
      <alignment horizontal="center"/>
      <protection/>
    </xf>
    <xf numFmtId="0" fontId="0" fillId="0" borderId="35" xfId="63" applyFont="1" applyBorder="1">
      <alignment/>
      <protection/>
    </xf>
    <xf numFmtId="0" fontId="0" fillId="0" borderId="36" xfId="63" applyFont="1" applyBorder="1">
      <alignment/>
      <protection/>
    </xf>
    <xf numFmtId="180" fontId="0" fillId="33" borderId="22" xfId="63" applyNumberFormat="1" applyFont="1" applyFill="1" applyBorder="1" applyAlignment="1">
      <alignment horizontal="center"/>
      <protection/>
    </xf>
    <xf numFmtId="0" fontId="0" fillId="0" borderId="23" xfId="63" applyFont="1" applyFill="1" applyBorder="1" applyAlignment="1">
      <alignment horizontal="center"/>
      <protection/>
    </xf>
    <xf numFmtId="0" fontId="0" fillId="34" borderId="24" xfId="63" applyFont="1" applyFill="1" applyBorder="1" applyAlignment="1">
      <alignment horizontal="center"/>
      <protection/>
    </xf>
    <xf numFmtId="0" fontId="0" fillId="0" borderId="37" xfId="63" applyFont="1" applyBorder="1">
      <alignment/>
      <protection/>
    </xf>
    <xf numFmtId="0" fontId="0" fillId="33" borderId="28" xfId="63" applyFont="1" applyFill="1" applyBorder="1">
      <alignment/>
      <protection/>
    </xf>
    <xf numFmtId="0" fontId="0" fillId="0" borderId="39" xfId="63" applyFont="1" applyBorder="1">
      <alignment/>
      <protection/>
    </xf>
    <xf numFmtId="180" fontId="0" fillId="33" borderId="27" xfId="63" applyNumberFormat="1" applyFont="1" applyFill="1" applyBorder="1" applyAlignment="1">
      <alignment horizontal="center"/>
      <protection/>
    </xf>
    <xf numFmtId="0" fontId="0" fillId="34" borderId="28" xfId="63" applyFont="1" applyFill="1" applyBorder="1" applyAlignment="1">
      <alignment horizontal="center"/>
      <protection/>
    </xf>
    <xf numFmtId="0" fontId="0" fillId="0" borderId="29" xfId="63" applyFont="1" applyBorder="1" applyAlignment="1">
      <alignment horizontal="center"/>
      <protection/>
    </xf>
    <xf numFmtId="0" fontId="4" fillId="0" borderId="32" xfId="63" applyFont="1" applyBorder="1">
      <alignment/>
      <protection/>
    </xf>
    <xf numFmtId="187" fontId="0" fillId="35" borderId="23" xfId="63" applyNumberFormat="1" applyFill="1" applyBorder="1">
      <alignment/>
      <protection/>
    </xf>
    <xf numFmtId="0" fontId="0" fillId="0" borderId="0" xfId="63" applyAlignment="1">
      <alignment horizontal="center"/>
      <protection/>
    </xf>
    <xf numFmtId="0" fontId="4" fillId="0" borderId="35" xfId="63" applyFont="1" applyBorder="1">
      <alignment/>
      <protection/>
    </xf>
    <xf numFmtId="187" fontId="0" fillId="35" borderId="40" xfId="63" applyNumberFormat="1" applyFont="1" applyFill="1" applyBorder="1">
      <alignment/>
      <protection/>
    </xf>
    <xf numFmtId="0" fontId="4" fillId="0" borderId="37" xfId="63" applyFont="1" applyBorder="1">
      <alignment/>
      <protection/>
    </xf>
    <xf numFmtId="188" fontId="0" fillId="36" borderId="41" xfId="63" applyNumberFormat="1" applyFill="1" applyBorder="1">
      <alignment/>
      <protection/>
    </xf>
    <xf numFmtId="188" fontId="0" fillId="36" borderId="23" xfId="63" applyNumberFormat="1" applyFill="1" applyBorder="1">
      <alignment/>
      <protection/>
    </xf>
    <xf numFmtId="0" fontId="4" fillId="0" borderId="0" xfId="63" applyFont="1" applyBorder="1">
      <alignment/>
      <protection/>
    </xf>
    <xf numFmtId="187" fontId="0" fillId="35" borderId="40" xfId="63" applyNumberFormat="1" applyFill="1" applyBorder="1">
      <alignment/>
      <protection/>
    </xf>
    <xf numFmtId="187" fontId="0" fillId="35" borderId="41" xfId="63" applyNumberFormat="1" applyFill="1" applyBorder="1">
      <alignment/>
      <protection/>
    </xf>
    <xf numFmtId="0" fontId="4" fillId="0" borderId="0" xfId="63" applyFont="1" applyBorder="1" applyAlignment="1">
      <alignment horizontal="center"/>
      <protection/>
    </xf>
    <xf numFmtId="178" fontId="0" fillId="0" borderId="0" xfId="63" applyNumberFormat="1" applyFill="1" applyBorder="1">
      <alignment/>
      <protection/>
    </xf>
    <xf numFmtId="0" fontId="4" fillId="0" borderId="0" xfId="63" applyFont="1" applyAlignment="1">
      <alignment horizontal="center"/>
      <protection/>
    </xf>
    <xf numFmtId="188" fontId="0" fillId="36" borderId="40" xfId="63" applyNumberFormat="1" applyFont="1" applyFill="1" applyBorder="1">
      <alignment/>
      <protection/>
    </xf>
    <xf numFmtId="178" fontId="0" fillId="0" borderId="0" xfId="63" applyNumberFormat="1" applyFill="1">
      <alignment/>
      <protection/>
    </xf>
    <xf numFmtId="0" fontId="4" fillId="0" borderId="0" xfId="63" applyFont="1" applyFill="1">
      <alignment/>
      <protection/>
    </xf>
    <xf numFmtId="0" fontId="9" fillId="0" borderId="32" xfId="63" applyFont="1" applyBorder="1">
      <alignment/>
      <protection/>
    </xf>
    <xf numFmtId="0" fontId="0" fillId="0" borderId="33" xfId="63" applyBorder="1">
      <alignment/>
      <protection/>
    </xf>
    <xf numFmtId="0" fontId="0" fillId="34" borderId="0" xfId="63" applyFill="1" applyBorder="1">
      <alignment/>
      <protection/>
    </xf>
    <xf numFmtId="0" fontId="0" fillId="0" borderId="0" xfId="63" applyBorder="1">
      <alignment/>
      <protection/>
    </xf>
    <xf numFmtId="0" fontId="0" fillId="37" borderId="0" xfId="63" applyFill="1" applyBorder="1">
      <alignment/>
      <protection/>
    </xf>
    <xf numFmtId="0" fontId="1" fillId="0" borderId="0" xfId="63" applyFont="1" applyBorder="1">
      <alignment/>
      <protection/>
    </xf>
    <xf numFmtId="0" fontId="0" fillId="33" borderId="0" xfId="63" applyFill="1" applyBorder="1">
      <alignment/>
      <protection/>
    </xf>
    <xf numFmtId="0" fontId="0" fillId="0" borderId="35" xfId="63" applyBorder="1">
      <alignment/>
      <protection/>
    </xf>
    <xf numFmtId="180" fontId="0" fillId="0" borderId="0" xfId="63" applyNumberFormat="1" applyBorder="1">
      <alignment/>
      <protection/>
    </xf>
    <xf numFmtId="0" fontId="0" fillId="0" borderId="37" xfId="63" applyBorder="1">
      <alignment/>
      <protection/>
    </xf>
    <xf numFmtId="0" fontId="57" fillId="0" borderId="38" xfId="63" applyFont="1" applyBorder="1" applyAlignment="1">
      <alignment horizontal="right"/>
      <protection/>
    </xf>
    <xf numFmtId="180" fontId="57" fillId="0" borderId="38" xfId="63" applyNumberFormat="1" applyFont="1" applyBorder="1">
      <alignment/>
      <protection/>
    </xf>
    <xf numFmtId="0" fontId="57" fillId="0" borderId="38" xfId="63" applyFont="1" applyBorder="1">
      <alignment/>
      <protection/>
    </xf>
    <xf numFmtId="0" fontId="16" fillId="0" borderId="0" xfId="63" applyFont="1">
      <alignment/>
      <protection/>
    </xf>
    <xf numFmtId="0" fontId="0" fillId="35" borderId="23" xfId="63" applyFill="1" applyBorder="1">
      <alignment/>
      <protection/>
    </xf>
    <xf numFmtId="0" fontId="3" fillId="0" borderId="34" xfId="63" applyFont="1" applyBorder="1">
      <alignment/>
      <protection/>
    </xf>
    <xf numFmtId="0" fontId="0" fillId="35" borderId="10" xfId="63" applyFill="1" applyBorder="1">
      <alignment/>
      <protection/>
    </xf>
    <xf numFmtId="0" fontId="2" fillId="0" borderId="36" xfId="63" applyFont="1" applyBorder="1">
      <alignment/>
      <protection/>
    </xf>
    <xf numFmtId="178" fontId="0" fillId="38" borderId="28" xfId="63" applyNumberFormat="1" applyFill="1" applyBorder="1">
      <alignment/>
      <protection/>
    </xf>
    <xf numFmtId="0" fontId="2" fillId="0" borderId="39" xfId="63" applyFont="1" applyBorder="1">
      <alignment/>
      <protection/>
    </xf>
    <xf numFmtId="0" fontId="0" fillId="38" borderId="10" xfId="63" applyFill="1" applyBorder="1">
      <alignment/>
      <protection/>
    </xf>
    <xf numFmtId="179" fontId="0" fillId="38" borderId="10" xfId="63" applyNumberFormat="1" applyFill="1" applyBorder="1">
      <alignment/>
      <protection/>
    </xf>
    <xf numFmtId="0" fontId="0" fillId="0" borderId="34" xfId="63" applyBorder="1">
      <alignment/>
      <protection/>
    </xf>
    <xf numFmtId="0" fontId="17" fillId="0" borderId="0" xfId="63" applyFont="1">
      <alignment/>
      <protection/>
    </xf>
    <xf numFmtId="0" fontId="0" fillId="0" borderId="36" xfId="63" applyBorder="1">
      <alignment/>
      <protection/>
    </xf>
    <xf numFmtId="0" fontId="13" fillId="0" borderId="0" xfId="0" applyFont="1" applyAlignment="1">
      <alignment/>
    </xf>
    <xf numFmtId="0" fontId="3" fillId="0" borderId="0" xfId="63" applyFont="1">
      <alignment/>
      <protection/>
    </xf>
    <xf numFmtId="0" fontId="57" fillId="0" borderId="39" xfId="63" applyFont="1" applyBorder="1">
      <alignment/>
      <protection/>
    </xf>
    <xf numFmtId="0" fontId="11" fillId="0" borderId="0" xfId="63" applyFont="1" applyAlignment="1" quotePrefix="1">
      <alignment horizontal="center"/>
      <protection/>
    </xf>
    <xf numFmtId="0" fontId="0" fillId="0" borderId="0" xfId="63" quotePrefix="1">
      <alignment/>
      <protection/>
    </xf>
  </cellXfs>
  <cellStyles count="50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Percent" xfId="21"/>
    <cellStyle name="Hyperlink" xfId="22"/>
    <cellStyle name="アクセント 2" xfId="23"/>
    <cellStyle name="Followed Hyperlink" xfId="24"/>
    <cellStyle name="20% - アクセント 4" xfId="25"/>
    <cellStyle name="メモ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  <cellStyle name="標準_Resonance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Cut-off Curve</a:t>
            </a:r>
          </a:p>
        </c:rich>
      </c:tx>
      <c:layout>
        <c:manualLayout>
          <c:xMode val="factor"/>
          <c:yMode val="factor"/>
          <c:x val="0.00275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"/>
          <c:y val="0.136"/>
          <c:w val="0.86275"/>
          <c:h val="0.828"/>
        </c:manualLayout>
      </c:layout>
      <c:scatterChart>
        <c:scatterStyle val="smooth"/>
        <c:varyColors val="0"/>
        <c:ser>
          <c:idx val="0"/>
          <c:order val="0"/>
          <c:tx>
            <c:v>Low-cut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'HPF=CR'!$B$14:$B$68</c:f>
              <c:numCache/>
            </c:numRef>
          </c:xVal>
          <c:yVal>
            <c:numRef>
              <c:f>'HPF=CR'!$C$14:$C$68</c:f>
              <c:numCache/>
            </c:numRef>
          </c:yVal>
          <c:smooth val="1"/>
        </c:ser>
        <c:axId val="66855770"/>
        <c:axId val="64831019"/>
      </c:scatterChart>
      <c:valAx>
        <c:axId val="6685577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-0.12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831019"/>
        <c:crosses val="autoZero"/>
        <c:crossBetween val="midCat"/>
        <c:dispUnits/>
        <c:majorUnit val="5"/>
        <c:minorUnit val="1"/>
      </c:valAx>
      <c:valAx>
        <c:axId val="64831019"/>
        <c:scaling>
          <c:orientation val="minMax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dB</a:t>
                </a:r>
              </a:p>
            </c:rich>
          </c:tx>
          <c:layout>
            <c:manualLayout>
              <c:xMode val="factor"/>
              <c:yMode val="factor"/>
              <c:x val="0.012"/>
              <c:y val="0.0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6855770"/>
        <c:crossesAt val="0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Cut-off Curve</a:t>
            </a:r>
          </a:p>
        </c:rich>
      </c:tx>
      <c:layout>
        <c:manualLayout>
          <c:xMode val="factor"/>
          <c:yMode val="factor"/>
          <c:x val="0.00325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"/>
          <c:y val="0.136"/>
          <c:w val="0.81575"/>
          <c:h val="0.828"/>
        </c:manualLayout>
      </c:layout>
      <c:scatterChart>
        <c:scatterStyle val="smooth"/>
        <c:varyColors val="0"/>
        <c:ser>
          <c:idx val="0"/>
          <c:order val="0"/>
          <c:tx>
            <c:v>Low-cut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'LPF=RC'!$B$14:$B$53</c:f>
              <c:numCache/>
            </c:numRef>
          </c:xVal>
          <c:yVal>
            <c:numRef>
              <c:f>'LPF=RC'!$C$14:$C$53</c:f>
              <c:numCache/>
            </c:numRef>
          </c:yVal>
          <c:smooth val="1"/>
        </c:ser>
        <c:axId val="46608260"/>
        <c:axId val="16821157"/>
      </c:scatterChart>
      <c:valAx>
        <c:axId val="4660826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-0.123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821157"/>
        <c:crosses val="autoZero"/>
        <c:crossBetween val="midCat"/>
        <c:dispUnits/>
        <c:minorUnit val="100"/>
      </c:valAx>
      <c:valAx>
        <c:axId val="16821157"/>
        <c:scaling>
          <c:orientation val="minMax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dB</a:t>
                </a:r>
              </a:p>
            </c:rich>
          </c:tx>
          <c:layout>
            <c:manualLayout>
              <c:xMode val="factor"/>
              <c:yMode val="factor"/>
              <c:x val="0.01425"/>
              <c:y val="0.0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608260"/>
        <c:crosses val="autoZero"/>
        <c:crossBetween val="midCat"/>
        <c:dispUnits/>
        <c:majorUnit val="1"/>
        <c:minorUnit val="0.1679034154746968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742950</xdr:colOff>
      <xdr:row>25</xdr:row>
      <xdr:rowOff>95250</xdr:rowOff>
    </xdr:from>
    <xdr:to>
      <xdr:col>15</xdr:col>
      <xdr:colOff>85725</xdr:colOff>
      <xdr:row>42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4733925"/>
          <a:ext cx="344805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12</xdr:row>
      <xdr:rowOff>76200</xdr:rowOff>
    </xdr:from>
    <xdr:to>
      <xdr:col>12</xdr:col>
      <xdr:colOff>504825</xdr:colOff>
      <xdr:row>38</xdr:row>
      <xdr:rowOff>0</xdr:rowOff>
    </xdr:to>
    <xdr:graphicFrame>
      <xdr:nvGraphicFramePr>
        <xdr:cNvPr id="1" name="Chart 5"/>
        <xdr:cNvGraphicFramePr/>
      </xdr:nvGraphicFramePr>
      <xdr:xfrm>
        <a:off x="2428875" y="2133600"/>
        <a:ext cx="55816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12</xdr:row>
      <xdr:rowOff>19050</xdr:rowOff>
    </xdr:from>
    <xdr:to>
      <xdr:col>11</xdr:col>
      <xdr:colOff>266700</xdr:colOff>
      <xdr:row>37</xdr:row>
      <xdr:rowOff>123825</xdr:rowOff>
    </xdr:to>
    <xdr:graphicFrame>
      <xdr:nvGraphicFramePr>
        <xdr:cNvPr id="1" name="Chart 18"/>
        <xdr:cNvGraphicFramePr/>
      </xdr:nvGraphicFramePr>
      <xdr:xfrm>
        <a:off x="2181225" y="2076450"/>
        <a:ext cx="5048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6">
      <selection activeCell="C18" sqref="C18"/>
    </sheetView>
  </sheetViews>
  <sheetFormatPr defaultColWidth="9.140625" defaultRowHeight="15"/>
  <cols>
    <col min="1" max="1" width="14.28125" style="21" customWidth="1"/>
    <col min="2" max="2" width="13.7109375" style="21" customWidth="1"/>
    <col min="3" max="3" width="12.57421875" style="21" customWidth="1"/>
    <col min="4" max="4" width="12.140625" style="21" customWidth="1"/>
    <col min="5" max="5" width="8.00390625" style="21" customWidth="1"/>
    <col min="6" max="6" width="12.8515625" style="21" customWidth="1"/>
    <col min="7" max="7" width="9.421875" style="21" customWidth="1"/>
    <col min="8" max="8" width="6.7109375" style="21" customWidth="1"/>
    <col min="9" max="9" width="13.57421875" style="21" customWidth="1"/>
    <col min="10" max="10" width="11.421875" style="21" customWidth="1"/>
    <col min="11" max="11" width="9.8515625" style="21" customWidth="1"/>
    <col min="12" max="12" width="12.8515625" style="21" bestFit="1" customWidth="1"/>
    <col min="13" max="16384" width="9.140625" style="21" customWidth="1"/>
  </cols>
  <sheetData>
    <row r="1" spans="1:11" ht="24.75">
      <c r="A1" s="99" t="s">
        <v>0</v>
      </c>
      <c r="B1" s="23"/>
      <c r="C1" s="133" t="s">
        <v>1</v>
      </c>
      <c r="E1" s="23"/>
      <c r="F1" s="25"/>
      <c r="G1" s="23"/>
      <c r="K1" s="40"/>
    </row>
    <row r="2" spans="1:11" ht="12.75" customHeight="1">
      <c r="A2" s="99"/>
      <c r="B2" s="23"/>
      <c r="C2" s="133"/>
      <c r="E2" s="23"/>
      <c r="F2" s="23"/>
      <c r="G2" s="23"/>
      <c r="K2" s="40"/>
    </row>
    <row r="3" spans="3:10" ht="13.5">
      <c r="C3" s="134" t="s">
        <v>2</v>
      </c>
      <c r="D3" s="134" t="s">
        <v>3</v>
      </c>
      <c r="E3" s="23"/>
      <c r="F3" s="135" t="s">
        <v>4</v>
      </c>
      <c r="J3" s="27" t="s">
        <v>5</v>
      </c>
    </row>
    <row r="4" spans="2:10" ht="14.25">
      <c r="B4" s="38" t="s">
        <v>6</v>
      </c>
      <c r="C4" s="110" t="s">
        <v>7</v>
      </c>
      <c r="D4" s="110" t="s">
        <v>8</v>
      </c>
      <c r="E4" s="23"/>
      <c r="F4" s="62" t="s">
        <v>9</v>
      </c>
      <c r="H4" s="136" t="s">
        <v>10</v>
      </c>
      <c r="J4" s="27"/>
    </row>
    <row r="5" spans="2:12" ht="13.5">
      <c r="B5" s="137">
        <v>20</v>
      </c>
      <c r="C5" s="138">
        <f>10^(B5/20)</f>
        <v>10</v>
      </c>
      <c r="D5" s="139">
        <f>10^(B5/10)</f>
        <v>100</v>
      </c>
      <c r="E5" s="23"/>
      <c r="F5" s="140" t="s">
        <v>11</v>
      </c>
      <c r="G5" s="141">
        <v>5</v>
      </c>
      <c r="H5" s="142" t="s">
        <v>12</v>
      </c>
      <c r="J5" s="157" t="s">
        <v>13</v>
      </c>
      <c r="K5" s="188">
        <v>10</v>
      </c>
      <c r="L5" s="189" t="s">
        <v>14</v>
      </c>
    </row>
    <row r="6" spans="2:12" ht="14.25">
      <c r="B6" s="143">
        <f>-B5</f>
        <v>-20</v>
      </c>
      <c r="C6" s="144">
        <f>10^(B6/20)</f>
        <v>0.1</v>
      </c>
      <c r="D6" s="145">
        <f>10^(B6/10)</f>
        <v>0.01</v>
      </c>
      <c r="E6" s="23"/>
      <c r="F6" s="146" t="s">
        <v>15</v>
      </c>
      <c r="G6" s="68">
        <v>0.005</v>
      </c>
      <c r="H6" s="147" t="s">
        <v>12</v>
      </c>
      <c r="J6" s="160" t="s">
        <v>16</v>
      </c>
      <c r="K6" s="190">
        <v>40</v>
      </c>
      <c r="L6" s="191" t="s">
        <v>17</v>
      </c>
    </row>
    <row r="7" spans="2:12" ht="14.25">
      <c r="B7" s="148">
        <f>10*LOG(D7)</f>
        <v>10</v>
      </c>
      <c r="C7" s="149"/>
      <c r="D7" s="150">
        <v>10</v>
      </c>
      <c r="E7" s="23"/>
      <c r="F7" s="151" t="s">
        <v>18</v>
      </c>
      <c r="G7" s="152">
        <f>20*LOG(G5/G6)</f>
        <v>60</v>
      </c>
      <c r="H7" s="153" t="s">
        <v>19</v>
      </c>
      <c r="J7" s="151" t="s">
        <v>20</v>
      </c>
      <c r="K7" s="192">
        <f>20*LOG(K5/(K6/10^6))</f>
        <v>107.95880017344075</v>
      </c>
      <c r="L7" s="193" t="s">
        <v>21</v>
      </c>
    </row>
    <row r="8" spans="2:10" ht="14.25">
      <c r="B8" s="154">
        <f>20*LOG(C8)</f>
        <v>20</v>
      </c>
      <c r="C8" s="155">
        <v>10</v>
      </c>
      <c r="D8" s="156"/>
      <c r="E8" s="23"/>
      <c r="J8" s="40"/>
    </row>
    <row r="9" spans="2:5" ht="13.5">
      <c r="B9" s="23"/>
      <c r="C9" s="23"/>
      <c r="D9" s="23"/>
      <c r="E9" s="23"/>
    </row>
    <row r="10" spans="2:9" ht="14.25">
      <c r="B10" s="33" t="s">
        <v>22</v>
      </c>
      <c r="C10" s="40"/>
      <c r="F10" s="33" t="s">
        <v>23</v>
      </c>
      <c r="I10" s="119" t="s">
        <v>24</v>
      </c>
    </row>
    <row r="11" spans="2:15" ht="13.5">
      <c r="B11" s="157" t="s">
        <v>25</v>
      </c>
      <c r="C11" s="158">
        <v>85</v>
      </c>
      <c r="D11" s="142" t="s">
        <v>26</v>
      </c>
      <c r="F11" s="23" t="s">
        <v>27</v>
      </c>
      <c r="I11" s="27" t="s">
        <v>28</v>
      </c>
      <c r="K11" s="190">
        <v>4</v>
      </c>
      <c r="L11" s="190">
        <v>3</v>
      </c>
      <c r="M11" s="190">
        <v>2</v>
      </c>
      <c r="N11" s="190">
        <v>1</v>
      </c>
      <c r="O11" s="23" t="s">
        <v>29</v>
      </c>
    </row>
    <row r="12" spans="1:15" ht="13.5">
      <c r="A12" s="159"/>
      <c r="B12" s="160" t="s">
        <v>30</v>
      </c>
      <c r="C12" s="161">
        <v>150</v>
      </c>
      <c r="D12" s="147" t="s">
        <v>31</v>
      </c>
      <c r="F12" s="27" t="s">
        <v>32</v>
      </c>
      <c r="I12" s="27" t="s">
        <v>33</v>
      </c>
      <c r="K12" s="190">
        <v>16</v>
      </c>
      <c r="L12" s="190">
        <v>16</v>
      </c>
      <c r="M12" s="190">
        <v>16</v>
      </c>
      <c r="N12" s="190">
        <v>16</v>
      </c>
      <c r="O12" s="23" t="s">
        <v>34</v>
      </c>
    </row>
    <row r="13" spans="1:15" ht="13.5">
      <c r="A13" s="159"/>
      <c r="B13" s="162" t="s">
        <v>35</v>
      </c>
      <c r="C13" s="163">
        <f>C11+10*(LOG(C12))</f>
        <v>106.76091259055681</v>
      </c>
      <c r="D13" s="153" t="s">
        <v>26</v>
      </c>
      <c r="F13" s="23" t="s">
        <v>36</v>
      </c>
      <c r="I13" s="27" t="s">
        <v>37</v>
      </c>
      <c r="K13" s="194">
        <f>K11*K12</f>
        <v>64</v>
      </c>
      <c r="L13" s="194">
        <f>L11*L12</f>
        <v>48</v>
      </c>
      <c r="M13" s="194">
        <f>M11*M12</f>
        <v>32</v>
      </c>
      <c r="N13" s="194">
        <f>N11*N12</f>
        <v>16</v>
      </c>
      <c r="O13" s="23" t="s">
        <v>31</v>
      </c>
    </row>
    <row r="14" spans="1:15" ht="13.5">
      <c r="A14" s="159"/>
      <c r="B14" s="157" t="s">
        <v>25</v>
      </c>
      <c r="C14" s="164">
        <f>C16-10*LOG(C15)</f>
        <v>92.02878745280337</v>
      </c>
      <c r="D14" s="142" t="s">
        <v>26</v>
      </c>
      <c r="E14" s="165"/>
      <c r="F14" s="23" t="s">
        <v>38</v>
      </c>
      <c r="I14" s="27" t="s">
        <v>39</v>
      </c>
      <c r="K14" s="194">
        <f>K12^2/K13</f>
        <v>4</v>
      </c>
      <c r="L14" s="194">
        <f>L12^2/L13</f>
        <v>5.333333333333333</v>
      </c>
      <c r="M14" s="194">
        <f>M12^2/M13</f>
        <v>8</v>
      </c>
      <c r="N14" s="194">
        <f>N12^2/N13</f>
        <v>16</v>
      </c>
      <c r="O14" s="23" t="s">
        <v>40</v>
      </c>
    </row>
    <row r="15" spans="1:9" ht="13.5">
      <c r="A15" s="159"/>
      <c r="B15" s="160" t="s">
        <v>30</v>
      </c>
      <c r="C15" s="166">
        <v>30</v>
      </c>
      <c r="D15" s="147" t="s">
        <v>31</v>
      </c>
      <c r="E15" s="165"/>
      <c r="F15" s="23" t="s">
        <v>41</v>
      </c>
      <c r="I15" s="27" t="s">
        <v>42</v>
      </c>
    </row>
    <row r="16" spans="1:15" ht="14.25">
      <c r="A16" s="159"/>
      <c r="B16" s="162" t="s">
        <v>35</v>
      </c>
      <c r="C16" s="167">
        <v>106.8</v>
      </c>
      <c r="D16" s="153" t="s">
        <v>26</v>
      </c>
      <c r="E16" s="165"/>
      <c r="F16" s="23" t="s">
        <v>43</v>
      </c>
      <c r="I16" s="27" t="s">
        <v>44</v>
      </c>
      <c r="K16" s="195">
        <f>K18/K17</f>
        <v>3.8729833462074166</v>
      </c>
      <c r="L16" s="195">
        <f>L18/L17</f>
        <v>2.581988897471611</v>
      </c>
      <c r="M16" s="195">
        <f>M18/M17</f>
        <v>1.9364916731037083</v>
      </c>
      <c r="N16" s="195">
        <f>N18/N17</f>
        <v>0.9682458365518541</v>
      </c>
      <c r="O16" s="23" t="s">
        <v>29</v>
      </c>
    </row>
    <row r="17" spans="1:15" ht="13.5">
      <c r="A17" s="168"/>
      <c r="B17" s="157" t="s">
        <v>25</v>
      </c>
      <c r="C17" s="158">
        <v>88</v>
      </c>
      <c r="D17" s="142" t="s">
        <v>26</v>
      </c>
      <c r="E17" s="169"/>
      <c r="F17" s="23" t="s">
        <v>45</v>
      </c>
      <c r="I17" s="27" t="s">
        <v>46</v>
      </c>
      <c r="K17" s="195">
        <f>SQRT(K18*K19)</f>
        <v>15.491933384829668</v>
      </c>
      <c r="L17" s="195">
        <f>SQRT(L18*L19)</f>
        <v>15.491933384829668</v>
      </c>
      <c r="M17" s="195">
        <f>SQRT(M18*M19)</f>
        <v>15.491933384829668</v>
      </c>
      <c r="N17" s="195">
        <f>SQRT(N18*N19)</f>
        <v>15.491933384829668</v>
      </c>
      <c r="O17" s="23" t="s">
        <v>34</v>
      </c>
    </row>
    <row r="18" spans="1:15" ht="13.5">
      <c r="A18" s="170"/>
      <c r="B18" s="160" t="s">
        <v>30</v>
      </c>
      <c r="C18" s="171">
        <f>10^((C19-C17)/10)</f>
        <v>75.85775750291832</v>
      </c>
      <c r="D18" s="147" t="s">
        <v>31</v>
      </c>
      <c r="E18" s="172"/>
      <c r="F18" s="27" t="s">
        <v>47</v>
      </c>
      <c r="I18" s="27" t="s">
        <v>48</v>
      </c>
      <c r="K18" s="190">
        <v>60</v>
      </c>
      <c r="L18" s="190">
        <v>40</v>
      </c>
      <c r="M18" s="190">
        <v>30</v>
      </c>
      <c r="N18" s="190">
        <v>15</v>
      </c>
      <c r="O18" s="23" t="s">
        <v>31</v>
      </c>
    </row>
    <row r="19" spans="1:15" ht="14.25">
      <c r="A19" s="27"/>
      <c r="B19" s="162" t="s">
        <v>35</v>
      </c>
      <c r="C19" s="167">
        <v>106.8</v>
      </c>
      <c r="D19" s="153" t="s">
        <v>26</v>
      </c>
      <c r="E19" s="172"/>
      <c r="F19" s="119" t="s">
        <v>49</v>
      </c>
      <c r="K19" s="190">
        <v>4</v>
      </c>
      <c r="L19" s="190">
        <v>6</v>
      </c>
      <c r="M19" s="190">
        <v>8</v>
      </c>
      <c r="N19" s="190">
        <v>16</v>
      </c>
      <c r="O19" s="23" t="s">
        <v>40</v>
      </c>
    </row>
    <row r="20" spans="1:9" ht="14.25">
      <c r="A20" s="27"/>
      <c r="B20" s="172"/>
      <c r="C20" s="173"/>
      <c r="D20" s="173"/>
      <c r="E20" s="172"/>
      <c r="F20" s="27"/>
      <c r="I20" s="27"/>
    </row>
    <row r="21" spans="2:11" ht="24.75">
      <c r="B21" s="174" t="s">
        <v>50</v>
      </c>
      <c r="C21" s="175"/>
      <c r="D21" s="175"/>
      <c r="E21" s="175"/>
      <c r="F21" s="175"/>
      <c r="G21" s="175"/>
      <c r="H21" s="175"/>
      <c r="I21" s="196"/>
      <c r="K21" s="197" t="s">
        <v>51</v>
      </c>
    </row>
    <row r="22" spans="2:14" ht="13.5">
      <c r="B22" s="146" t="s">
        <v>52</v>
      </c>
      <c r="C22" s="25"/>
      <c r="D22" s="176">
        <v>5</v>
      </c>
      <c r="E22" s="25" t="s">
        <v>53</v>
      </c>
      <c r="F22" s="177"/>
      <c r="G22" s="177"/>
      <c r="H22" s="177"/>
      <c r="I22" s="198"/>
      <c r="K22" s="135" t="s">
        <v>54</v>
      </c>
      <c r="N22" s="23" t="s">
        <v>55</v>
      </c>
    </row>
    <row r="23" spans="2:11" ht="13.5">
      <c r="B23" s="146" t="s">
        <v>56</v>
      </c>
      <c r="C23" s="177"/>
      <c r="D23" s="176">
        <v>0.05</v>
      </c>
      <c r="E23" s="25" t="s">
        <v>53</v>
      </c>
      <c r="F23" s="178">
        <f>D23*10^3</f>
        <v>50</v>
      </c>
      <c r="G23" s="179" t="s">
        <v>17</v>
      </c>
      <c r="H23" s="177"/>
      <c r="I23" s="198"/>
      <c r="K23" s="135" t="s">
        <v>57</v>
      </c>
    </row>
    <row r="24" spans="2:9" ht="13.5">
      <c r="B24" s="146" t="s">
        <v>58</v>
      </c>
      <c r="C24" s="25"/>
      <c r="D24" s="180">
        <f>D22-D23</f>
        <v>4.95</v>
      </c>
      <c r="E24" s="25" t="s">
        <v>53</v>
      </c>
      <c r="F24" s="177"/>
      <c r="G24" s="177"/>
      <c r="H24" s="177"/>
      <c r="I24" s="198"/>
    </row>
    <row r="25" spans="2:11" ht="13.5">
      <c r="B25" s="181"/>
      <c r="C25" s="25" t="s">
        <v>59</v>
      </c>
      <c r="D25" s="177"/>
      <c r="E25" s="177"/>
      <c r="F25" s="25" t="s">
        <v>60</v>
      </c>
      <c r="G25" s="177"/>
      <c r="H25" s="177"/>
      <c r="I25" s="198"/>
      <c r="K25" s="199" t="s">
        <v>61</v>
      </c>
    </row>
    <row r="26" spans="2:14" ht="15">
      <c r="B26" s="181"/>
      <c r="C26" s="25" t="s">
        <v>62</v>
      </c>
      <c r="D26" s="177"/>
      <c r="E26" s="177"/>
      <c r="F26" s="25" t="s">
        <v>63</v>
      </c>
      <c r="G26" s="177"/>
      <c r="H26" s="177"/>
      <c r="I26" s="198"/>
      <c r="K26" s="119"/>
      <c r="L26" s="200"/>
      <c r="M26" s="200"/>
      <c r="N26" s="200"/>
    </row>
    <row r="27" spans="2:14" ht="15">
      <c r="B27" s="181"/>
      <c r="C27" s="182">
        <f>20*LOG(D22/D23)</f>
        <v>40</v>
      </c>
      <c r="D27" s="25" t="s">
        <v>19</v>
      </c>
      <c r="E27" s="25" t="s">
        <v>64</v>
      </c>
      <c r="F27" s="182">
        <f>20*LOG(D24/D23)</f>
        <v>39.912703891951</v>
      </c>
      <c r="G27" s="25" t="s">
        <v>19</v>
      </c>
      <c r="H27" s="177"/>
      <c r="I27" s="198"/>
      <c r="K27" s="119"/>
      <c r="L27" s="200"/>
      <c r="M27" s="200"/>
      <c r="N27" s="200"/>
    </row>
    <row r="28" spans="2:14" ht="15">
      <c r="B28" s="183"/>
      <c r="C28" s="184" t="s">
        <v>65</v>
      </c>
      <c r="D28" s="185">
        <f>C27-F27</f>
        <v>0.0872961080490029</v>
      </c>
      <c r="E28" s="186" t="s">
        <v>6</v>
      </c>
      <c r="F28" s="186" t="s">
        <v>66</v>
      </c>
      <c r="G28" s="186"/>
      <c r="H28" s="186"/>
      <c r="I28" s="201"/>
      <c r="K28" s="119"/>
      <c r="L28" s="200"/>
      <c r="M28" s="200"/>
      <c r="N28" s="200"/>
    </row>
    <row r="29" ht="15">
      <c r="K29" s="135"/>
    </row>
    <row r="30" ht="15">
      <c r="B30" s="23" t="s">
        <v>67</v>
      </c>
    </row>
    <row r="31" spans="2:5" ht="15">
      <c r="B31" s="23" t="s">
        <v>52</v>
      </c>
      <c r="C31" s="23"/>
      <c r="D31" s="128">
        <v>5</v>
      </c>
      <c r="E31" s="23" t="s">
        <v>53</v>
      </c>
    </row>
    <row r="32" spans="2:5" ht="15">
      <c r="B32" s="23" t="s">
        <v>56</v>
      </c>
      <c r="D32" s="128">
        <v>0.2</v>
      </c>
      <c r="E32" s="23" t="s">
        <v>53</v>
      </c>
    </row>
    <row r="33" spans="2:5" ht="15">
      <c r="B33" s="23" t="s">
        <v>58</v>
      </c>
      <c r="C33" s="23"/>
      <c r="D33" s="129">
        <f>D31-D32</f>
        <v>4.8</v>
      </c>
      <c r="E33" s="23" t="s">
        <v>53</v>
      </c>
    </row>
    <row r="34" spans="3:6" ht="15">
      <c r="C34" s="23" t="s">
        <v>59</v>
      </c>
      <c r="F34" s="23" t="s">
        <v>60</v>
      </c>
    </row>
    <row r="35" spans="3:6" ht="15">
      <c r="C35" s="23" t="s">
        <v>62</v>
      </c>
      <c r="F35" s="23" t="s">
        <v>63</v>
      </c>
    </row>
    <row r="36" spans="3:7" ht="15">
      <c r="C36" s="130">
        <f>20*LOG(D31/D32)</f>
        <v>27.958800173440753</v>
      </c>
      <c r="D36" s="23" t="s">
        <v>19</v>
      </c>
      <c r="E36" s="23" t="s">
        <v>64</v>
      </c>
      <c r="F36" s="130">
        <f>20*LOG(D33/D32)</f>
        <v>27.60422483423212</v>
      </c>
      <c r="G36" s="23" t="s">
        <v>19</v>
      </c>
    </row>
    <row r="37" spans="3:6" ht="15">
      <c r="C37" s="131" t="s">
        <v>68</v>
      </c>
      <c r="D37" s="132">
        <f>C36-F36</f>
        <v>0.35457533920863327</v>
      </c>
      <c r="E37" s="23" t="s">
        <v>19</v>
      </c>
      <c r="F37" s="22"/>
    </row>
    <row r="38" ht="15"/>
    <row r="39" ht="15">
      <c r="B39" s="23" t="s">
        <v>69</v>
      </c>
    </row>
    <row r="40" spans="2:5" ht="15">
      <c r="B40" s="23" t="s">
        <v>52</v>
      </c>
      <c r="C40" s="23"/>
      <c r="D40" s="128">
        <v>5</v>
      </c>
      <c r="E40" s="23" t="s">
        <v>53</v>
      </c>
    </row>
    <row r="41" spans="2:5" ht="15">
      <c r="B41" s="23" t="s">
        <v>56</v>
      </c>
      <c r="D41" s="128">
        <v>0.5</v>
      </c>
      <c r="E41" s="23" t="s">
        <v>53</v>
      </c>
    </row>
    <row r="42" spans="2:5" ht="15">
      <c r="B42" s="23" t="s">
        <v>58</v>
      </c>
      <c r="C42" s="23"/>
      <c r="D42" s="129">
        <f>D40-D41</f>
        <v>4.5</v>
      </c>
      <c r="E42" s="23" t="s">
        <v>53</v>
      </c>
    </row>
    <row r="43" spans="3:6" ht="15">
      <c r="C43" s="23" t="s">
        <v>59</v>
      </c>
      <c r="F43" s="23" t="s">
        <v>60</v>
      </c>
    </row>
    <row r="44" spans="3:6" ht="13.5">
      <c r="C44" s="23" t="s">
        <v>62</v>
      </c>
      <c r="F44" s="23" t="s">
        <v>63</v>
      </c>
    </row>
    <row r="45" spans="3:7" ht="13.5">
      <c r="C45" s="130">
        <f>20*LOG(D40/D41)</f>
        <v>20</v>
      </c>
      <c r="D45" s="23" t="s">
        <v>19</v>
      </c>
      <c r="E45" s="23" t="s">
        <v>64</v>
      </c>
      <c r="F45" s="130">
        <f>20*LOG(D42/D41)</f>
        <v>19.084850188786497</v>
      </c>
      <c r="G45" s="23" t="s">
        <v>19</v>
      </c>
    </row>
    <row r="46" spans="3:6" ht="13.5">
      <c r="C46" s="131" t="s">
        <v>68</v>
      </c>
      <c r="D46" s="132">
        <f>C45-F45</f>
        <v>0.915149811213503</v>
      </c>
      <c r="E46" s="23" t="s">
        <v>19</v>
      </c>
      <c r="F46" s="22"/>
    </row>
    <row r="49" ht="18.75">
      <c r="B49" s="187"/>
    </row>
  </sheetData>
  <sheetProtection/>
  <printOptions/>
  <pageMargins left="0.75" right="0.75" top="1" bottom="1" header="0.512" footer="0.512"/>
  <pageSetup horizontalDpi="180" verticalDpi="18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workbookViewId="0" topLeftCell="A87">
      <selection activeCell="F115" sqref="F115"/>
    </sheetView>
  </sheetViews>
  <sheetFormatPr defaultColWidth="9.140625" defaultRowHeight="15"/>
  <cols>
    <col min="1" max="1" width="14.28125" style="21" customWidth="1"/>
    <col min="2" max="2" width="13.7109375" style="21" customWidth="1"/>
    <col min="3" max="3" width="12.57421875" style="21" customWidth="1"/>
    <col min="4" max="4" width="12.140625" style="21" customWidth="1"/>
    <col min="5" max="5" width="8.00390625" style="21" customWidth="1"/>
    <col min="6" max="6" width="12.8515625" style="21" customWidth="1"/>
    <col min="7" max="7" width="9.421875" style="21" customWidth="1"/>
    <col min="8" max="8" width="5.421875" style="21" customWidth="1"/>
    <col min="9" max="9" width="13.57421875" style="21" customWidth="1"/>
    <col min="10" max="10" width="11.421875" style="21" customWidth="1"/>
    <col min="11" max="11" width="12.7109375" style="21" customWidth="1"/>
    <col min="12" max="16384" width="9.140625" style="21" customWidth="1"/>
  </cols>
  <sheetData>
    <row r="1" spans="1:4" ht="24.75">
      <c r="A1" s="99" t="s">
        <v>70</v>
      </c>
      <c r="B1" s="23"/>
      <c r="C1" s="23"/>
      <c r="D1" s="23"/>
    </row>
    <row r="2" spans="1:5" ht="15" customHeight="1">
      <c r="A2" s="23"/>
      <c r="B2" s="23" t="s">
        <v>71</v>
      </c>
      <c r="C2" s="23"/>
      <c r="D2" s="23"/>
      <c r="E2" s="23"/>
    </row>
    <row r="3" spans="1:6" ht="13.5">
      <c r="A3" s="28"/>
      <c r="B3" s="38" t="s">
        <v>72</v>
      </c>
      <c r="C3" s="38" t="s">
        <v>73</v>
      </c>
      <c r="D3" s="38" t="s">
        <v>74</v>
      </c>
      <c r="E3" s="38"/>
      <c r="F3" s="38"/>
    </row>
    <row r="4" spans="1:6" ht="13.5">
      <c r="A4" s="23">
        <v>1</v>
      </c>
      <c r="B4" s="38">
        <v>0</v>
      </c>
      <c r="C4" s="100">
        <f aca="true" t="shared" si="0" ref="C4:C67">SIN(B4)</f>
        <v>0</v>
      </c>
      <c r="D4" s="101">
        <f aca="true" t="shared" si="1" ref="D4:D67">C4^2</f>
        <v>0</v>
      </c>
      <c r="E4" s="23"/>
      <c r="F4" s="102"/>
    </row>
    <row r="5" spans="1:6" ht="13.5">
      <c r="A5" s="23">
        <v>2</v>
      </c>
      <c r="B5" s="100">
        <f>PI()/50+B4</f>
        <v>0.06283185307179587</v>
      </c>
      <c r="C5" s="100">
        <f t="shared" si="0"/>
        <v>0.06279051952931337</v>
      </c>
      <c r="D5" s="101">
        <f t="shared" si="1"/>
        <v>0.003942649342761085</v>
      </c>
      <c r="E5" s="23"/>
      <c r="F5" s="102"/>
    </row>
    <row r="6" spans="1:9" ht="13.5">
      <c r="A6" s="23">
        <v>3</v>
      </c>
      <c r="B6" s="100">
        <f aca="true" t="shared" si="2" ref="B6:B69">PI()/50+B5</f>
        <v>0.12566370614359174</v>
      </c>
      <c r="C6" s="100">
        <f t="shared" si="0"/>
        <v>0.12533323356430426</v>
      </c>
      <c r="D6" s="101">
        <f t="shared" si="1"/>
        <v>0.015708419435684445</v>
      </c>
      <c r="E6" s="23"/>
      <c r="F6" s="102"/>
      <c r="I6" s="23"/>
    </row>
    <row r="7" spans="1:9" ht="13.5">
      <c r="A7" s="23">
        <v>4</v>
      </c>
      <c r="B7" s="100">
        <f t="shared" si="2"/>
        <v>0.1884955592153876</v>
      </c>
      <c r="C7" s="100">
        <f t="shared" si="0"/>
        <v>0.18738131458572463</v>
      </c>
      <c r="D7" s="101">
        <f t="shared" si="1"/>
        <v>0.0351117570558743</v>
      </c>
      <c r="E7" s="23"/>
      <c r="F7" s="102"/>
      <c r="I7" s="23"/>
    </row>
    <row r="8" spans="1:9" ht="13.5">
      <c r="A8" s="23">
        <v>5</v>
      </c>
      <c r="B8" s="100">
        <f t="shared" si="2"/>
        <v>0.25132741228718347</v>
      </c>
      <c r="C8" s="100">
        <f t="shared" si="0"/>
        <v>0.2486898871648548</v>
      </c>
      <c r="D8" s="101">
        <f t="shared" si="1"/>
        <v>0.06184665997806821</v>
      </c>
      <c r="E8" s="23"/>
      <c r="F8" s="102"/>
      <c r="I8" s="23"/>
    </row>
    <row r="9" spans="1:6" ht="13.5">
      <c r="A9" s="23">
        <v>6</v>
      </c>
      <c r="B9" s="100">
        <f t="shared" si="2"/>
        <v>0.3141592653589793</v>
      </c>
      <c r="C9" s="100">
        <f t="shared" si="0"/>
        <v>0.3090169943749474</v>
      </c>
      <c r="D9" s="101">
        <f t="shared" si="1"/>
        <v>0.09549150281252627</v>
      </c>
      <c r="E9" s="23"/>
      <c r="F9" s="102"/>
    </row>
    <row r="10" spans="1:6" ht="13.5">
      <c r="A10" s="23">
        <v>7</v>
      </c>
      <c r="B10" s="100">
        <f t="shared" si="2"/>
        <v>0.37699111843077515</v>
      </c>
      <c r="C10" s="100">
        <f t="shared" si="0"/>
        <v>0.3681245526846779</v>
      </c>
      <c r="D10" s="101">
        <f t="shared" si="1"/>
        <v>0.1355156862892942</v>
      </c>
      <c r="E10" s="23"/>
      <c r="F10" s="102"/>
    </row>
    <row r="11" spans="1:6" ht="13.5">
      <c r="A11" s="23">
        <v>8</v>
      </c>
      <c r="B11" s="100">
        <f t="shared" si="2"/>
        <v>0.439822971502571</v>
      </c>
      <c r="C11" s="100">
        <f t="shared" si="0"/>
        <v>0.4257792915650726</v>
      </c>
      <c r="D11" s="101">
        <f t="shared" si="1"/>
        <v>0.1812880051256551</v>
      </c>
      <c r="E11" s="23"/>
      <c r="F11" s="102"/>
    </row>
    <row r="12" spans="1:6" ht="13.5">
      <c r="A12" s="23">
        <v>9</v>
      </c>
      <c r="B12" s="100">
        <f t="shared" si="2"/>
        <v>0.5026548245743668</v>
      </c>
      <c r="C12" s="100">
        <f t="shared" si="0"/>
        <v>0.4817536741017152</v>
      </c>
      <c r="D12" s="101">
        <f t="shared" si="1"/>
        <v>0.23208660251050164</v>
      </c>
      <c r="E12" s="23"/>
      <c r="F12" s="102"/>
    </row>
    <row r="13" spans="1:6" ht="13.5">
      <c r="A13" s="23">
        <v>10</v>
      </c>
      <c r="B13" s="100">
        <f t="shared" si="2"/>
        <v>0.5654866776461627</v>
      </c>
      <c r="C13" s="100">
        <f t="shared" si="0"/>
        <v>0.5358267949789965</v>
      </c>
      <c r="D13" s="101">
        <f t="shared" si="1"/>
        <v>0.2871103542174636</v>
      </c>
      <c r="E13" s="23"/>
      <c r="F13" s="102"/>
    </row>
    <row r="14" spans="1:6" ht="13.5">
      <c r="A14" s="23">
        <v>11</v>
      </c>
      <c r="B14" s="100">
        <f t="shared" si="2"/>
        <v>0.6283185307179585</v>
      </c>
      <c r="C14" s="100">
        <f t="shared" si="0"/>
        <v>0.587785252292473</v>
      </c>
      <c r="D14" s="101">
        <f t="shared" si="1"/>
        <v>0.34549150281252616</v>
      </c>
      <c r="E14" s="23"/>
      <c r="F14" s="102"/>
    </row>
    <row r="15" spans="1:6" ht="13.5">
      <c r="A15" s="23">
        <v>12</v>
      </c>
      <c r="B15" s="100">
        <f t="shared" si="2"/>
        <v>0.6911503837897544</v>
      </c>
      <c r="C15" s="100">
        <f t="shared" si="0"/>
        <v>0.6374239897486896</v>
      </c>
      <c r="D15" s="101">
        <f t="shared" si="1"/>
        <v>0.4063093427071376</v>
      </c>
      <c r="E15" s="23"/>
      <c r="F15" s="102"/>
    </row>
    <row r="16" spans="1:6" ht="13.5">
      <c r="A16" s="23">
        <v>13</v>
      </c>
      <c r="B16" s="100">
        <f t="shared" si="2"/>
        <v>0.7539822368615502</v>
      </c>
      <c r="C16" s="100">
        <f t="shared" si="0"/>
        <v>0.6845471059286885</v>
      </c>
      <c r="D16" s="101">
        <f t="shared" si="1"/>
        <v>0.4686047402353431</v>
      </c>
      <c r="E16" s="23"/>
      <c r="F16" s="102"/>
    </row>
    <row r="17" spans="1:6" ht="13.5">
      <c r="A17" s="23">
        <v>14</v>
      </c>
      <c r="B17" s="100">
        <f t="shared" si="2"/>
        <v>0.816814089933346</v>
      </c>
      <c r="C17" s="100">
        <f t="shared" si="0"/>
        <v>0.7289686274214113</v>
      </c>
      <c r="D17" s="101">
        <f t="shared" si="1"/>
        <v>0.5313952597646564</v>
      </c>
      <c r="E17" s="23"/>
      <c r="F17" s="102"/>
    </row>
    <row r="18" spans="1:6" ht="13.5">
      <c r="A18" s="23">
        <v>15</v>
      </c>
      <c r="B18" s="100">
        <f t="shared" si="2"/>
        <v>0.8796459430051419</v>
      </c>
      <c r="C18" s="100">
        <f t="shared" si="0"/>
        <v>0.770513242775789</v>
      </c>
      <c r="D18" s="101">
        <f t="shared" si="1"/>
        <v>0.593690657292862</v>
      </c>
      <c r="E18" s="23"/>
      <c r="F18" s="102"/>
    </row>
    <row r="19" spans="1:6" ht="13.5">
      <c r="A19" s="23">
        <v>16</v>
      </c>
      <c r="B19" s="100">
        <f t="shared" si="2"/>
        <v>0.9424777960769377</v>
      </c>
      <c r="C19" s="100">
        <f t="shared" si="0"/>
        <v>0.8090169943749472</v>
      </c>
      <c r="D19" s="101">
        <f t="shared" si="1"/>
        <v>0.6545084971874734</v>
      </c>
      <c r="E19" s="23"/>
      <c r="F19" s="102"/>
    </row>
    <row r="20" spans="1:6" ht="13.5">
      <c r="A20" s="23">
        <v>17</v>
      </c>
      <c r="B20" s="100">
        <f t="shared" si="2"/>
        <v>1.0053096491487337</v>
      </c>
      <c r="C20" s="100">
        <f t="shared" si="0"/>
        <v>0.844327925502015</v>
      </c>
      <c r="D20" s="101">
        <f t="shared" si="1"/>
        <v>0.7128896457825361</v>
      </c>
      <c r="E20" s="23"/>
      <c r="F20" s="102"/>
    </row>
    <row r="21" spans="1:6" ht="13.5">
      <c r="A21" s="23">
        <v>18</v>
      </c>
      <c r="B21" s="100">
        <f t="shared" si="2"/>
        <v>1.0681415022205296</v>
      </c>
      <c r="C21" s="100">
        <f t="shared" si="0"/>
        <v>0.8763066800438636</v>
      </c>
      <c r="D21" s="101">
        <f t="shared" si="1"/>
        <v>0.7679133974894983</v>
      </c>
      <c r="E21" s="23"/>
      <c r="F21" s="102"/>
    </row>
    <row r="22" spans="1:6" ht="13.5">
      <c r="A22" s="23">
        <v>19</v>
      </c>
      <c r="B22" s="100">
        <f t="shared" si="2"/>
        <v>1.1309733552923256</v>
      </c>
      <c r="C22" s="100">
        <f t="shared" si="0"/>
        <v>0.9048270524660196</v>
      </c>
      <c r="D22" s="101">
        <f t="shared" si="1"/>
        <v>0.818711994874345</v>
      </c>
      <c r="E22" s="23"/>
      <c r="F22" s="102"/>
    </row>
    <row r="23" spans="1:6" ht="13.5">
      <c r="A23" s="23">
        <v>20</v>
      </c>
      <c r="B23" s="100">
        <f t="shared" si="2"/>
        <v>1.1938052083641215</v>
      </c>
      <c r="C23" s="100">
        <f t="shared" si="0"/>
        <v>0.9297764858882515</v>
      </c>
      <c r="D23" s="101">
        <f t="shared" si="1"/>
        <v>0.8644843137107059</v>
      </c>
      <c r="E23" s="23"/>
      <c r="F23" s="102"/>
    </row>
    <row r="24" spans="1:6" ht="13.5">
      <c r="A24" s="23">
        <v>21</v>
      </c>
      <c r="B24" s="100">
        <f t="shared" si="2"/>
        <v>1.2566370614359175</v>
      </c>
      <c r="C24" s="100">
        <f t="shared" si="0"/>
        <v>0.9510565162951536</v>
      </c>
      <c r="D24" s="101">
        <f t="shared" si="1"/>
        <v>0.9045084971874738</v>
      </c>
      <c r="E24" s="23"/>
      <c r="F24" s="102"/>
    </row>
    <row r="25" spans="1:6" ht="13.5">
      <c r="A25" s="23">
        <v>22</v>
      </c>
      <c r="B25" s="100">
        <f t="shared" si="2"/>
        <v>1.3194689145077134</v>
      </c>
      <c r="C25" s="100">
        <f t="shared" si="0"/>
        <v>0.9685831611286312</v>
      </c>
      <c r="D25" s="101">
        <f t="shared" si="1"/>
        <v>0.938153340021932</v>
      </c>
      <c r="E25" s="23"/>
      <c r="F25" s="102"/>
    </row>
    <row r="26" spans="1:6" ht="13.5">
      <c r="A26" s="23">
        <v>23</v>
      </c>
      <c r="B26" s="100">
        <f t="shared" si="2"/>
        <v>1.3823007675795094</v>
      </c>
      <c r="C26" s="100">
        <f t="shared" si="0"/>
        <v>0.9822872507286887</v>
      </c>
      <c r="D26" s="101">
        <f t="shared" si="1"/>
        <v>0.9648882429441258</v>
      </c>
      <c r="E26" s="23"/>
      <c r="F26" s="102"/>
    </row>
    <row r="27" spans="1:6" ht="13.5">
      <c r="A27" s="23">
        <v>24</v>
      </c>
      <c r="B27" s="100">
        <f t="shared" si="2"/>
        <v>1.4451326206513053</v>
      </c>
      <c r="C27" s="100">
        <f t="shared" si="0"/>
        <v>0.9921147013144779</v>
      </c>
      <c r="D27" s="101">
        <f t="shared" si="1"/>
        <v>0.9842915805643156</v>
      </c>
      <c r="E27" s="23"/>
      <c r="F27" s="102"/>
    </row>
    <row r="28" spans="1:6" ht="13.5">
      <c r="A28" s="23">
        <v>25</v>
      </c>
      <c r="B28" s="100">
        <f t="shared" si="2"/>
        <v>1.5079644737231013</v>
      </c>
      <c r="C28" s="100">
        <f t="shared" si="0"/>
        <v>0.9980267284282716</v>
      </c>
      <c r="D28" s="101">
        <f t="shared" si="1"/>
        <v>0.9960573506572389</v>
      </c>
      <c r="E28" s="23"/>
      <c r="F28" s="102"/>
    </row>
    <row r="29" spans="1:6" ht="13.5">
      <c r="A29" s="23">
        <v>26</v>
      </c>
      <c r="B29" s="100">
        <f t="shared" si="2"/>
        <v>1.5707963267948972</v>
      </c>
      <c r="C29" s="100">
        <f t="shared" si="0"/>
        <v>1</v>
      </c>
      <c r="D29" s="101">
        <f t="shared" si="1"/>
        <v>1</v>
      </c>
      <c r="E29" s="23"/>
      <c r="F29" s="102"/>
    </row>
    <row r="30" spans="1:6" ht="13.5">
      <c r="A30" s="23">
        <v>27</v>
      </c>
      <c r="B30" s="100">
        <f t="shared" si="2"/>
        <v>1.6336281798666932</v>
      </c>
      <c r="C30" s="100">
        <f t="shared" si="0"/>
        <v>0.9980267284282716</v>
      </c>
      <c r="D30" s="101">
        <f t="shared" si="1"/>
        <v>0.9960573506572389</v>
      </c>
      <c r="E30" s="23"/>
      <c r="F30" s="102"/>
    </row>
    <row r="31" spans="1:6" ht="13.5">
      <c r="A31" s="23">
        <v>28</v>
      </c>
      <c r="B31" s="100">
        <f t="shared" si="2"/>
        <v>1.6964600329384891</v>
      </c>
      <c r="C31" s="100">
        <f t="shared" si="0"/>
        <v>0.9921147013144778</v>
      </c>
      <c r="D31" s="101">
        <f t="shared" si="1"/>
        <v>0.9842915805643154</v>
      </c>
      <c r="E31" s="23"/>
      <c r="F31" s="102"/>
    </row>
    <row r="32" spans="1:6" ht="13.5">
      <c r="A32" s="23">
        <v>29</v>
      </c>
      <c r="B32" s="100">
        <f t="shared" si="2"/>
        <v>1.759291886010285</v>
      </c>
      <c r="C32" s="100">
        <f t="shared" si="0"/>
        <v>0.9822872507286885</v>
      </c>
      <c r="D32" s="101">
        <f t="shared" si="1"/>
        <v>0.9648882429441253</v>
      </c>
      <c r="E32" s="23"/>
      <c r="F32" s="102"/>
    </row>
    <row r="33" spans="1:6" ht="13.5">
      <c r="A33" s="23">
        <v>30</v>
      </c>
      <c r="B33" s="100">
        <f t="shared" si="2"/>
        <v>1.822123739082081</v>
      </c>
      <c r="C33" s="100">
        <f t="shared" si="0"/>
        <v>0.9685831611286309</v>
      </c>
      <c r="D33" s="101">
        <f t="shared" si="1"/>
        <v>0.9381533400219313</v>
      </c>
      <c r="E33" s="23"/>
      <c r="F33" s="102"/>
    </row>
    <row r="34" spans="1:6" ht="13.5">
      <c r="A34" s="23">
        <v>31</v>
      </c>
      <c r="B34" s="100">
        <f t="shared" si="2"/>
        <v>1.884955592153877</v>
      </c>
      <c r="C34" s="100">
        <f t="shared" si="0"/>
        <v>0.9510565162951532</v>
      </c>
      <c r="D34" s="101">
        <f t="shared" si="1"/>
        <v>0.904508497187473</v>
      </c>
      <c r="E34" s="23"/>
      <c r="F34" s="102"/>
    </row>
    <row r="35" spans="1:6" ht="13.5">
      <c r="A35" s="23">
        <v>32</v>
      </c>
      <c r="B35" s="100">
        <f t="shared" si="2"/>
        <v>1.947787445225673</v>
      </c>
      <c r="C35" s="100">
        <f t="shared" si="0"/>
        <v>0.929776485888251</v>
      </c>
      <c r="D35" s="101">
        <f t="shared" si="1"/>
        <v>0.864484313710705</v>
      </c>
      <c r="E35" s="23"/>
      <c r="F35" s="102"/>
    </row>
    <row r="36" spans="1:6" ht="13.5">
      <c r="A36" s="23">
        <v>33</v>
      </c>
      <c r="B36" s="100">
        <f t="shared" si="2"/>
        <v>2.0106192982974687</v>
      </c>
      <c r="C36" s="100">
        <f t="shared" si="0"/>
        <v>0.9048270524660191</v>
      </c>
      <c r="D36" s="101">
        <f t="shared" si="1"/>
        <v>0.8187119948743441</v>
      </c>
      <c r="E36" s="23"/>
      <c r="F36" s="102"/>
    </row>
    <row r="37" spans="1:6" ht="13.5">
      <c r="A37" s="23">
        <v>34</v>
      </c>
      <c r="B37" s="100">
        <f t="shared" si="2"/>
        <v>2.0734511513692646</v>
      </c>
      <c r="C37" s="100">
        <f t="shared" si="0"/>
        <v>0.876306680043863</v>
      </c>
      <c r="D37" s="101">
        <f t="shared" si="1"/>
        <v>0.7679133974894974</v>
      </c>
      <c r="E37" s="23"/>
      <c r="F37" s="102"/>
    </row>
    <row r="38" spans="1:6" ht="13.5">
      <c r="A38" s="23">
        <v>35</v>
      </c>
      <c r="B38" s="100">
        <f t="shared" si="2"/>
        <v>2.1362830044410606</v>
      </c>
      <c r="C38" s="100">
        <f t="shared" si="0"/>
        <v>0.8443279255020144</v>
      </c>
      <c r="D38" s="101">
        <f t="shared" si="1"/>
        <v>0.7128896457825352</v>
      </c>
      <c r="E38" s="23"/>
      <c r="F38" s="102"/>
    </row>
    <row r="39" spans="1:6" ht="13.5">
      <c r="A39" s="23">
        <v>36</v>
      </c>
      <c r="B39" s="100">
        <f t="shared" si="2"/>
        <v>2.1991148575128565</v>
      </c>
      <c r="C39" s="100">
        <f t="shared" si="0"/>
        <v>0.8090169943749467</v>
      </c>
      <c r="D39" s="101">
        <f t="shared" si="1"/>
        <v>0.6545084971874725</v>
      </c>
      <c r="E39" s="23"/>
      <c r="F39" s="102"/>
    </row>
    <row r="40" spans="1:6" ht="13.5">
      <c r="A40" s="23">
        <v>37</v>
      </c>
      <c r="B40" s="100">
        <f t="shared" si="2"/>
        <v>2.2619467105846525</v>
      </c>
      <c r="C40" s="100">
        <f t="shared" si="0"/>
        <v>0.7705132427757884</v>
      </c>
      <c r="D40" s="101">
        <f t="shared" si="1"/>
        <v>0.593690657292861</v>
      </c>
      <c r="E40" s="23"/>
      <c r="F40" s="102"/>
    </row>
    <row r="41" spans="1:6" ht="13.5">
      <c r="A41" s="23">
        <v>38</v>
      </c>
      <c r="B41" s="100">
        <f t="shared" si="2"/>
        <v>2.3247785636564484</v>
      </c>
      <c r="C41" s="100">
        <f t="shared" si="0"/>
        <v>0.7289686274214106</v>
      </c>
      <c r="D41" s="101">
        <f t="shared" si="1"/>
        <v>0.5313952597646553</v>
      </c>
      <c r="E41" s="23"/>
      <c r="F41" s="102"/>
    </row>
    <row r="42" spans="1:6" ht="13.5">
      <c r="A42" s="23">
        <v>39</v>
      </c>
      <c r="B42" s="100">
        <f t="shared" si="2"/>
        <v>2.3876104167282444</v>
      </c>
      <c r="C42" s="100">
        <f t="shared" si="0"/>
        <v>0.6845471059286876</v>
      </c>
      <c r="D42" s="101">
        <f t="shared" si="1"/>
        <v>0.4686047402353419</v>
      </c>
      <c r="E42" s="23"/>
      <c r="F42" s="102"/>
    </row>
    <row r="43" spans="1:6" ht="13.5">
      <c r="A43" s="23">
        <v>40</v>
      </c>
      <c r="B43" s="100">
        <f t="shared" si="2"/>
        <v>2.4504422698000403</v>
      </c>
      <c r="C43" s="100">
        <f t="shared" si="0"/>
        <v>0.6374239897486885</v>
      </c>
      <c r="D43" s="101">
        <f t="shared" si="1"/>
        <v>0.40630934270713615</v>
      </c>
      <c r="E43" s="23"/>
      <c r="F43" s="102"/>
    </row>
    <row r="44" spans="1:6" ht="13.5">
      <c r="A44" s="23">
        <v>41</v>
      </c>
      <c r="B44" s="100">
        <f t="shared" si="2"/>
        <v>2.5132741228718363</v>
      </c>
      <c r="C44" s="100">
        <f t="shared" si="0"/>
        <v>0.5877852522924718</v>
      </c>
      <c r="D44" s="101">
        <f t="shared" si="1"/>
        <v>0.3454915028125247</v>
      </c>
      <c r="E44" s="23"/>
      <c r="F44" s="102"/>
    </row>
    <row r="45" spans="1:6" ht="13.5">
      <c r="A45" s="23">
        <v>42</v>
      </c>
      <c r="B45" s="100">
        <f t="shared" si="2"/>
        <v>2.576105975943632</v>
      </c>
      <c r="C45" s="100">
        <f t="shared" si="0"/>
        <v>0.5358267949789951</v>
      </c>
      <c r="D45" s="101">
        <f t="shared" si="1"/>
        <v>0.28711035421746206</v>
      </c>
      <c r="E45" s="23"/>
      <c r="F45" s="102"/>
    </row>
    <row r="46" spans="1:6" ht="13.5">
      <c r="A46" s="23">
        <v>43</v>
      </c>
      <c r="B46" s="100">
        <f t="shared" si="2"/>
        <v>2.638937829015428</v>
      </c>
      <c r="C46" s="100">
        <f t="shared" si="0"/>
        <v>0.48175367410171366</v>
      </c>
      <c r="D46" s="101">
        <f t="shared" si="1"/>
        <v>0.23208660251050015</v>
      </c>
      <c r="E46" s="23"/>
      <c r="F46" s="102"/>
    </row>
    <row r="47" spans="1:6" ht="13.5">
      <c r="A47" s="23">
        <v>44</v>
      </c>
      <c r="B47" s="100">
        <f t="shared" si="2"/>
        <v>2.701769682087224</v>
      </c>
      <c r="C47" s="100">
        <f t="shared" si="0"/>
        <v>0.4257792915650709</v>
      </c>
      <c r="D47" s="101">
        <f t="shared" si="1"/>
        <v>0.18128800512565363</v>
      </c>
      <c r="E47" s="23"/>
      <c r="F47" s="102"/>
    </row>
    <row r="48" spans="1:6" ht="13.5">
      <c r="A48" s="23">
        <v>45</v>
      </c>
      <c r="B48" s="100">
        <f t="shared" si="2"/>
        <v>2.76460153515902</v>
      </c>
      <c r="C48" s="100">
        <f t="shared" si="0"/>
        <v>0.3681245526846761</v>
      </c>
      <c r="D48" s="101">
        <f t="shared" si="1"/>
        <v>0.13551568628929286</v>
      </c>
      <c r="E48" s="23"/>
      <c r="F48" s="102"/>
    </row>
    <row r="49" spans="1:6" ht="13.5">
      <c r="A49" s="23">
        <v>46</v>
      </c>
      <c r="B49" s="100">
        <f t="shared" si="2"/>
        <v>2.827433388230816</v>
      </c>
      <c r="C49" s="100">
        <f t="shared" si="0"/>
        <v>0.3090169943749454</v>
      </c>
      <c r="D49" s="101">
        <f t="shared" si="1"/>
        <v>0.09549150281252504</v>
      </c>
      <c r="E49" s="23"/>
      <c r="F49" s="102"/>
    </row>
    <row r="50" spans="1:6" ht="13.5">
      <c r="A50" s="23">
        <v>47</v>
      </c>
      <c r="B50" s="100">
        <f t="shared" si="2"/>
        <v>2.890265241302612</v>
      </c>
      <c r="C50" s="100">
        <f t="shared" si="0"/>
        <v>0.24868988716485266</v>
      </c>
      <c r="D50" s="101">
        <f t="shared" si="1"/>
        <v>0.061846659978067146</v>
      </c>
      <c r="E50" s="23"/>
      <c r="F50" s="102"/>
    </row>
    <row r="51" spans="1:6" ht="13.5">
      <c r="A51" s="23">
        <v>48</v>
      </c>
      <c r="B51" s="100">
        <f t="shared" si="2"/>
        <v>2.953097094374408</v>
      </c>
      <c r="C51" s="100">
        <f t="shared" si="0"/>
        <v>0.18738131458572238</v>
      </c>
      <c r="D51" s="101">
        <f t="shared" si="1"/>
        <v>0.03511175705587345</v>
      </c>
      <c r="E51" s="23"/>
      <c r="F51" s="102"/>
    </row>
    <row r="52" spans="1:6" ht="13.5">
      <c r="A52" s="23">
        <v>49</v>
      </c>
      <c r="B52" s="100">
        <f t="shared" si="2"/>
        <v>3.015928947446204</v>
      </c>
      <c r="C52" s="100">
        <f t="shared" si="0"/>
        <v>0.1253332335643019</v>
      </c>
      <c r="D52" s="101">
        <f t="shared" si="1"/>
        <v>0.01570841943568385</v>
      </c>
      <c r="E52" s="23"/>
      <c r="F52" s="102"/>
    </row>
    <row r="53" spans="1:6" ht="13.5">
      <c r="A53" s="23">
        <v>50</v>
      </c>
      <c r="B53" s="100">
        <f t="shared" si="2"/>
        <v>3.078760800518</v>
      </c>
      <c r="C53" s="100">
        <f t="shared" si="0"/>
        <v>0.06279051952931093</v>
      </c>
      <c r="D53" s="101">
        <f t="shared" si="1"/>
        <v>0.0039426493427607776</v>
      </c>
      <c r="E53" s="23"/>
      <c r="F53" s="102"/>
    </row>
    <row r="54" spans="1:6" ht="13.5">
      <c r="A54" s="23">
        <v>51</v>
      </c>
      <c r="B54" s="100">
        <f t="shared" si="2"/>
        <v>3.141592653589796</v>
      </c>
      <c r="C54" s="103">
        <f t="shared" si="0"/>
        <v>-2.5420204136095137E-15</v>
      </c>
      <c r="D54" s="101">
        <f t="shared" si="1"/>
        <v>6.461867783207483E-30</v>
      </c>
      <c r="E54" s="23"/>
      <c r="F54" s="102"/>
    </row>
    <row r="55" spans="1:6" ht="13.5">
      <c r="A55" s="23">
        <v>52</v>
      </c>
      <c r="B55" s="100">
        <f t="shared" si="2"/>
        <v>3.2044245066615917</v>
      </c>
      <c r="C55" s="103">
        <f t="shared" si="0"/>
        <v>-0.062790519529316</v>
      </c>
      <c r="D55" s="101">
        <f t="shared" si="1"/>
        <v>0.003942649342761413</v>
      </c>
      <c r="E55" s="23"/>
      <c r="F55" s="102"/>
    </row>
    <row r="56" spans="1:6" ht="13.5">
      <c r="A56" s="23">
        <v>53</v>
      </c>
      <c r="B56" s="100">
        <f t="shared" si="2"/>
        <v>3.2672563597333877</v>
      </c>
      <c r="C56" s="103">
        <f t="shared" si="0"/>
        <v>-0.12533323356430695</v>
      </c>
      <c r="D56" s="101">
        <f t="shared" si="1"/>
        <v>0.015708419435685118</v>
      </c>
      <c r="E56" s="23"/>
      <c r="F56" s="102"/>
    </row>
    <row r="57" spans="1:6" ht="13.5">
      <c r="A57" s="23">
        <v>54</v>
      </c>
      <c r="B57" s="100">
        <f t="shared" si="2"/>
        <v>3.3300882128051836</v>
      </c>
      <c r="C57" s="103">
        <f t="shared" si="0"/>
        <v>-0.18738131458572738</v>
      </c>
      <c r="D57" s="101">
        <f t="shared" si="1"/>
        <v>0.035111757055875326</v>
      </c>
      <c r="E57" s="23"/>
      <c r="F57" s="102"/>
    </row>
    <row r="58" spans="1:6" ht="13.5">
      <c r="A58" s="23">
        <v>55</v>
      </c>
      <c r="B58" s="100">
        <f t="shared" si="2"/>
        <v>3.3929200658769796</v>
      </c>
      <c r="C58" s="103">
        <f t="shared" si="0"/>
        <v>-0.2486898871648576</v>
      </c>
      <c r="D58" s="101">
        <f t="shared" si="1"/>
        <v>0.0618466599780696</v>
      </c>
      <c r="E58" s="23"/>
      <c r="F58" s="102"/>
    </row>
    <row r="59" spans="1:6" ht="13.5">
      <c r="A59" s="23">
        <v>56</v>
      </c>
      <c r="B59" s="100">
        <f t="shared" si="2"/>
        <v>3.4557519189487755</v>
      </c>
      <c r="C59" s="103">
        <f t="shared" si="0"/>
        <v>-0.3090169943749502</v>
      </c>
      <c r="D59" s="101">
        <f t="shared" si="1"/>
        <v>0.09549150281252802</v>
      </c>
      <c r="E59" s="23"/>
      <c r="F59" s="102"/>
    </row>
    <row r="60" spans="1:6" ht="13.5">
      <c r="A60" s="23">
        <v>57</v>
      </c>
      <c r="B60" s="100">
        <f t="shared" si="2"/>
        <v>3.5185837720205715</v>
      </c>
      <c r="C60" s="103">
        <f t="shared" si="0"/>
        <v>-0.3681245526846808</v>
      </c>
      <c r="D60" s="101">
        <f t="shared" si="1"/>
        <v>0.13551568628929633</v>
      </c>
      <c r="E60" s="23"/>
      <c r="F60" s="102"/>
    </row>
    <row r="61" spans="1:6" ht="13.5">
      <c r="A61" s="23">
        <v>58</v>
      </c>
      <c r="B61" s="100">
        <f t="shared" si="2"/>
        <v>3.5814156250923674</v>
      </c>
      <c r="C61" s="103">
        <f t="shared" si="0"/>
        <v>-0.4257792915650755</v>
      </c>
      <c r="D61" s="101">
        <f t="shared" si="1"/>
        <v>0.18128800512565757</v>
      </c>
      <c r="E61" s="23"/>
      <c r="F61" s="102"/>
    </row>
    <row r="62" spans="1:6" ht="13.5">
      <c r="A62" s="23">
        <v>59</v>
      </c>
      <c r="B62" s="100">
        <f t="shared" si="2"/>
        <v>3.6442474781641634</v>
      </c>
      <c r="C62" s="103">
        <f t="shared" si="0"/>
        <v>-0.4817536741017181</v>
      </c>
      <c r="D62" s="101">
        <f t="shared" si="1"/>
        <v>0.23208660251050442</v>
      </c>
      <c r="E62" s="23"/>
      <c r="F62" s="102"/>
    </row>
    <row r="63" spans="1:6" ht="13.5">
      <c r="A63" s="23">
        <v>60</v>
      </c>
      <c r="B63" s="100">
        <f t="shared" si="2"/>
        <v>3.7070793312359593</v>
      </c>
      <c r="C63" s="103">
        <f t="shared" si="0"/>
        <v>-0.5358267949789994</v>
      </c>
      <c r="D63" s="101">
        <f t="shared" si="1"/>
        <v>0.28711035421746667</v>
      </c>
      <c r="E63" s="23"/>
      <c r="F63" s="102"/>
    </row>
    <row r="64" spans="1:8" ht="13.5">
      <c r="A64" s="23">
        <v>61</v>
      </c>
      <c r="B64" s="100">
        <f t="shared" si="2"/>
        <v>3.7699111843077553</v>
      </c>
      <c r="C64" s="103">
        <f t="shared" si="0"/>
        <v>-0.5877852522924759</v>
      </c>
      <c r="D64" s="101">
        <f t="shared" si="1"/>
        <v>0.34549150281252955</v>
      </c>
      <c r="E64" s="23"/>
      <c r="F64" s="102"/>
      <c r="G64" s="23"/>
      <c r="H64" s="23"/>
    </row>
    <row r="65" spans="1:8" ht="13.5">
      <c r="A65" s="23">
        <v>62</v>
      </c>
      <c r="B65" s="100">
        <f t="shared" si="2"/>
        <v>3.8327430373795512</v>
      </c>
      <c r="C65" s="103">
        <f t="shared" si="0"/>
        <v>-0.6374239897486924</v>
      </c>
      <c r="D65" s="101">
        <f t="shared" si="1"/>
        <v>0.40630934270714114</v>
      </c>
      <c r="E65" s="23"/>
      <c r="F65" s="102"/>
      <c r="G65" s="23"/>
      <c r="H65" s="23"/>
    </row>
    <row r="66" spans="1:8" ht="13.5">
      <c r="A66" s="23">
        <v>63</v>
      </c>
      <c r="B66" s="100">
        <f t="shared" si="2"/>
        <v>3.895574890451347</v>
      </c>
      <c r="C66" s="103">
        <f t="shared" si="0"/>
        <v>-0.6845471059286913</v>
      </c>
      <c r="D66" s="101">
        <f t="shared" si="1"/>
        <v>0.4686047402353469</v>
      </c>
      <c r="E66" s="23"/>
      <c r="F66" s="102"/>
      <c r="G66" s="23"/>
      <c r="H66" s="23"/>
    </row>
    <row r="67" spans="1:8" ht="13.5">
      <c r="A67" s="23">
        <v>64</v>
      </c>
      <c r="B67" s="100">
        <f t="shared" si="2"/>
        <v>3.958406743523143</v>
      </c>
      <c r="C67" s="103">
        <f t="shared" si="0"/>
        <v>-0.728968627421414</v>
      </c>
      <c r="D67" s="101">
        <f t="shared" si="1"/>
        <v>0.5313952597646603</v>
      </c>
      <c r="E67" s="23"/>
      <c r="F67" s="102"/>
      <c r="G67" s="23"/>
      <c r="H67" s="23"/>
    </row>
    <row r="68" spans="1:8" ht="13.5">
      <c r="A68" s="23">
        <v>65</v>
      </c>
      <c r="B68" s="100">
        <f t="shared" si="2"/>
        <v>4.021238596594939</v>
      </c>
      <c r="C68" s="103">
        <f aca="true" t="shared" si="3" ref="C68:C104">SIN(B68)</f>
        <v>-0.7705132427757916</v>
      </c>
      <c r="D68" s="101">
        <f aca="true" t="shared" si="4" ref="D68:D104">C68^2</f>
        <v>0.593690657292866</v>
      </c>
      <c r="E68" s="23"/>
      <c r="F68" s="102"/>
      <c r="G68" s="23"/>
      <c r="H68" s="23"/>
    </row>
    <row r="69" spans="1:8" ht="13.5">
      <c r="A69" s="23">
        <v>66</v>
      </c>
      <c r="B69" s="100">
        <f t="shared" si="2"/>
        <v>4.084070449666735</v>
      </c>
      <c r="C69" s="103">
        <f t="shared" si="3"/>
        <v>-0.8090169943749494</v>
      </c>
      <c r="D69" s="101">
        <f t="shared" si="4"/>
        <v>0.654508497187477</v>
      </c>
      <c r="E69" s="23"/>
      <c r="F69" s="102"/>
      <c r="G69" s="23"/>
      <c r="H69" s="23"/>
    </row>
    <row r="70" spans="1:8" ht="13.5">
      <c r="A70" s="23">
        <v>67</v>
      </c>
      <c r="B70" s="100">
        <f aca="true" t="shared" si="5" ref="B70:B104">PI()/50+B69</f>
        <v>4.14690230273853</v>
      </c>
      <c r="C70" s="103">
        <f t="shared" si="3"/>
        <v>-0.8443279255020167</v>
      </c>
      <c r="D70" s="101">
        <f t="shared" si="4"/>
        <v>0.7128896457825391</v>
      </c>
      <c r="E70" s="23"/>
      <c r="F70" s="102"/>
      <c r="G70" s="23"/>
      <c r="H70" s="23"/>
    </row>
    <row r="71" spans="1:8" ht="13.5">
      <c r="A71" s="23">
        <v>68</v>
      </c>
      <c r="B71" s="100">
        <f t="shared" si="5"/>
        <v>4.209734155810326</v>
      </c>
      <c r="C71" s="103">
        <f t="shared" si="3"/>
        <v>-0.8763066800438649</v>
      </c>
      <c r="D71" s="101">
        <f t="shared" si="4"/>
        <v>0.7679133974895006</v>
      </c>
      <c r="E71" s="23"/>
      <c r="F71" s="102"/>
      <c r="G71" s="23"/>
      <c r="H71" s="23"/>
    </row>
    <row r="72" spans="1:8" ht="13.5">
      <c r="A72" s="23">
        <v>69</v>
      </c>
      <c r="B72" s="100">
        <f t="shared" si="5"/>
        <v>4.272566008882121</v>
      </c>
      <c r="C72" s="103">
        <f t="shared" si="3"/>
        <v>-0.9048270524660205</v>
      </c>
      <c r="D72" s="101">
        <f t="shared" si="4"/>
        <v>0.8187119948743465</v>
      </c>
      <c r="E72" s="23"/>
      <c r="F72" s="102"/>
      <c r="G72" s="23"/>
      <c r="H72" s="23"/>
    </row>
    <row r="73" spans="1:8" ht="13.5">
      <c r="A73" s="23">
        <v>70</v>
      </c>
      <c r="B73" s="100">
        <f t="shared" si="5"/>
        <v>4.335397861953917</v>
      </c>
      <c r="C73" s="103">
        <f t="shared" si="3"/>
        <v>-0.9297764858882521</v>
      </c>
      <c r="D73" s="101">
        <f t="shared" si="4"/>
        <v>0.8644843137107071</v>
      </c>
      <c r="E73" s="23"/>
      <c r="F73" s="102"/>
      <c r="G73" s="23"/>
      <c r="H73" s="23"/>
    </row>
    <row r="74" spans="1:8" ht="13.5">
      <c r="A74" s="23">
        <v>71</v>
      </c>
      <c r="B74" s="100">
        <f t="shared" si="5"/>
        <v>4.398229715025712</v>
      </c>
      <c r="C74" s="103">
        <f t="shared" si="3"/>
        <v>-0.9510565162951541</v>
      </c>
      <c r="D74" s="101">
        <f t="shared" si="4"/>
        <v>0.9045084971874747</v>
      </c>
      <c r="E74" s="23"/>
      <c r="F74" s="102"/>
      <c r="G74" s="23"/>
      <c r="H74" s="23"/>
    </row>
    <row r="75" spans="1:8" ht="13.5">
      <c r="A75" s="23">
        <v>72</v>
      </c>
      <c r="B75" s="100">
        <f t="shared" si="5"/>
        <v>4.461061568097508</v>
      </c>
      <c r="C75" s="103">
        <f t="shared" si="3"/>
        <v>-0.9685831611286314</v>
      </c>
      <c r="D75" s="101">
        <f t="shared" si="4"/>
        <v>0.9381533400219324</v>
      </c>
      <c r="E75" s="23"/>
      <c r="F75" s="102"/>
      <c r="G75" s="23"/>
      <c r="H75" s="23"/>
    </row>
    <row r="76" spans="1:8" ht="13.5">
      <c r="A76" s="23">
        <v>73</v>
      </c>
      <c r="B76" s="100">
        <f t="shared" si="5"/>
        <v>4.523893421169303</v>
      </c>
      <c r="C76" s="103">
        <f t="shared" si="3"/>
        <v>-0.9822872507286888</v>
      </c>
      <c r="D76" s="101">
        <f t="shared" si="4"/>
        <v>0.964888242944126</v>
      </c>
      <c r="E76" s="23"/>
      <c r="F76" s="102"/>
      <c r="G76" s="23"/>
      <c r="H76" s="23"/>
    </row>
    <row r="77" spans="1:8" ht="13.5">
      <c r="A77" s="23">
        <v>74</v>
      </c>
      <c r="B77" s="100">
        <f t="shared" si="5"/>
        <v>4.586725274241099</v>
      </c>
      <c r="C77" s="103">
        <f t="shared" si="3"/>
        <v>-0.9921147013144779</v>
      </c>
      <c r="D77" s="101">
        <f t="shared" si="4"/>
        <v>0.9842915805643156</v>
      </c>
      <c r="E77" s="23"/>
      <c r="F77" s="102"/>
      <c r="G77" s="23"/>
      <c r="H77" s="23"/>
    </row>
    <row r="78" spans="1:8" ht="13.5">
      <c r="A78" s="23">
        <v>75</v>
      </c>
      <c r="B78" s="100">
        <f t="shared" si="5"/>
        <v>4.649557127312894</v>
      </c>
      <c r="C78" s="103">
        <f t="shared" si="3"/>
        <v>-0.9980267284282716</v>
      </c>
      <c r="D78" s="101">
        <f t="shared" si="4"/>
        <v>0.9960573506572389</v>
      </c>
      <c r="E78" s="23"/>
      <c r="F78" s="102"/>
      <c r="G78" s="23"/>
      <c r="H78" s="23"/>
    </row>
    <row r="79" spans="1:8" ht="13.5">
      <c r="A79" s="23">
        <v>76</v>
      </c>
      <c r="B79" s="100">
        <f t="shared" si="5"/>
        <v>4.71238898038469</v>
      </c>
      <c r="C79" s="103">
        <f t="shared" si="3"/>
        <v>-1</v>
      </c>
      <c r="D79" s="101">
        <f t="shared" si="4"/>
        <v>1</v>
      </c>
      <c r="E79" s="23"/>
      <c r="F79" s="102"/>
      <c r="G79" s="23"/>
      <c r="H79" s="23"/>
    </row>
    <row r="80" spans="1:8" ht="13.5">
      <c r="A80" s="23">
        <v>77</v>
      </c>
      <c r="B80" s="100">
        <f t="shared" si="5"/>
        <v>4.775220833456485</v>
      </c>
      <c r="C80" s="103">
        <f t="shared" si="3"/>
        <v>-0.9980267284282716</v>
      </c>
      <c r="D80" s="101">
        <f t="shared" si="4"/>
        <v>0.9960573506572389</v>
      </c>
      <c r="E80" s="23"/>
      <c r="F80" s="102"/>
      <c r="G80" s="23"/>
      <c r="H80" s="23"/>
    </row>
    <row r="81" spans="1:8" ht="13.5">
      <c r="A81" s="23">
        <v>78</v>
      </c>
      <c r="B81" s="100">
        <f t="shared" si="5"/>
        <v>4.838052686528281</v>
      </c>
      <c r="C81" s="103">
        <f t="shared" si="3"/>
        <v>-0.992114701314478</v>
      </c>
      <c r="D81" s="101">
        <f t="shared" si="4"/>
        <v>0.9842915805643159</v>
      </c>
      <c r="E81" s="23"/>
      <c r="F81" s="102"/>
      <c r="G81" s="23"/>
      <c r="H81" s="23"/>
    </row>
    <row r="82" spans="1:8" ht="13.5">
      <c r="A82" s="23">
        <v>79</v>
      </c>
      <c r="B82" s="100">
        <f t="shared" si="5"/>
        <v>4.900884539600076</v>
      </c>
      <c r="C82" s="103">
        <f t="shared" si="3"/>
        <v>-0.9822872507286889</v>
      </c>
      <c r="D82" s="101">
        <f t="shared" si="4"/>
        <v>0.9648882429441262</v>
      </c>
      <c r="E82" s="23"/>
      <c r="F82" s="102"/>
      <c r="G82" s="23"/>
      <c r="H82" s="23"/>
    </row>
    <row r="83" spans="1:8" ht="13.5">
      <c r="A83" s="23">
        <v>80</v>
      </c>
      <c r="B83" s="100">
        <f t="shared" si="5"/>
        <v>4.963716392671872</v>
      </c>
      <c r="C83" s="103">
        <f t="shared" si="3"/>
        <v>-0.9685831611286315</v>
      </c>
      <c r="D83" s="101">
        <f t="shared" si="4"/>
        <v>0.9381533400219326</v>
      </c>
      <c r="E83" s="23"/>
      <c r="F83" s="102"/>
      <c r="G83" s="23"/>
      <c r="H83" s="23"/>
    </row>
    <row r="84" spans="1:8" ht="13.5">
      <c r="A84" s="23">
        <v>81</v>
      </c>
      <c r="B84" s="100">
        <f t="shared" si="5"/>
        <v>5.026548245743667</v>
      </c>
      <c r="C84" s="103">
        <f t="shared" si="3"/>
        <v>-0.9510565162951542</v>
      </c>
      <c r="D84" s="101">
        <f t="shared" si="4"/>
        <v>0.904508497187475</v>
      </c>
      <c r="E84" s="23"/>
      <c r="F84" s="102"/>
      <c r="G84" s="23"/>
      <c r="H84" s="23"/>
    </row>
    <row r="85" spans="1:8" ht="13.5">
      <c r="A85" s="23">
        <v>82</v>
      </c>
      <c r="B85" s="100">
        <f t="shared" si="5"/>
        <v>5.089380098815463</v>
      </c>
      <c r="C85" s="103">
        <f t="shared" si="3"/>
        <v>-0.9297764858882522</v>
      </c>
      <c r="D85" s="101">
        <f t="shared" si="4"/>
        <v>0.8644843137107073</v>
      </c>
      <c r="E85" s="23"/>
      <c r="F85" s="102"/>
      <c r="G85" s="23"/>
      <c r="H85" s="23"/>
    </row>
    <row r="86" spans="1:8" ht="13.5">
      <c r="A86" s="23">
        <v>83</v>
      </c>
      <c r="B86" s="100">
        <f t="shared" si="5"/>
        <v>5.152211951887258</v>
      </c>
      <c r="C86" s="103">
        <f t="shared" si="3"/>
        <v>-0.9048270524660207</v>
      </c>
      <c r="D86" s="101">
        <f t="shared" si="4"/>
        <v>0.818711994874347</v>
      </c>
      <c r="E86" s="23"/>
      <c r="F86" s="102"/>
      <c r="G86" s="23"/>
      <c r="H86" s="23"/>
    </row>
    <row r="87" spans="1:8" ht="13.5">
      <c r="A87" s="23">
        <v>84</v>
      </c>
      <c r="B87" s="100">
        <f t="shared" si="5"/>
        <v>5.215043804959054</v>
      </c>
      <c r="C87" s="103">
        <f t="shared" si="3"/>
        <v>-0.876306680043865</v>
      </c>
      <c r="D87" s="101">
        <f t="shared" si="4"/>
        <v>0.7679133974895008</v>
      </c>
      <c r="E87" s="23"/>
      <c r="F87" s="102"/>
      <c r="G87" s="23"/>
      <c r="H87" s="23"/>
    </row>
    <row r="88" spans="1:8" ht="13.5">
      <c r="A88" s="23">
        <v>85</v>
      </c>
      <c r="B88" s="100">
        <f t="shared" si="5"/>
        <v>5.277875658030849</v>
      </c>
      <c r="C88" s="103">
        <f t="shared" si="3"/>
        <v>-0.8443279255020169</v>
      </c>
      <c r="D88" s="101">
        <f t="shared" si="4"/>
        <v>0.7128896457825393</v>
      </c>
      <c r="E88" s="23"/>
      <c r="F88" s="102"/>
      <c r="G88" s="23"/>
      <c r="H88" s="23"/>
    </row>
    <row r="89" spans="1:8" ht="13.5">
      <c r="A89" s="23">
        <v>86</v>
      </c>
      <c r="B89" s="100">
        <f t="shared" si="5"/>
        <v>5.340707511102645</v>
      </c>
      <c r="C89" s="103">
        <f t="shared" si="3"/>
        <v>-0.8090169943749497</v>
      </c>
      <c r="D89" s="101">
        <f t="shared" si="4"/>
        <v>0.6545084971874774</v>
      </c>
      <c r="E89" s="23"/>
      <c r="F89" s="102"/>
      <c r="G89" s="23"/>
      <c r="H89" s="23"/>
    </row>
    <row r="90" spans="1:8" ht="13.5">
      <c r="A90" s="23">
        <v>87</v>
      </c>
      <c r="B90" s="100">
        <f t="shared" si="5"/>
        <v>5.40353936417444</v>
      </c>
      <c r="C90" s="103">
        <f t="shared" si="3"/>
        <v>-0.7705132427757918</v>
      </c>
      <c r="D90" s="101">
        <f t="shared" si="4"/>
        <v>0.5936906572928663</v>
      </c>
      <c r="E90" s="23"/>
      <c r="F90" s="102"/>
      <c r="G90" s="23"/>
      <c r="H90" s="23"/>
    </row>
    <row r="91" spans="1:8" ht="13.5">
      <c r="A91" s="23">
        <v>88</v>
      </c>
      <c r="B91" s="100">
        <f t="shared" si="5"/>
        <v>5.466371217246236</v>
      </c>
      <c r="C91" s="103">
        <f t="shared" si="3"/>
        <v>-0.7289686274214146</v>
      </c>
      <c r="D91" s="101">
        <f t="shared" si="4"/>
        <v>0.5313952597646611</v>
      </c>
      <c r="E91" s="23"/>
      <c r="F91" s="102"/>
      <c r="G91" s="23"/>
      <c r="H91" s="23"/>
    </row>
    <row r="92" spans="1:8" ht="13.5">
      <c r="A92" s="23">
        <v>89</v>
      </c>
      <c r="B92" s="100">
        <f t="shared" si="5"/>
        <v>5.529203070318031</v>
      </c>
      <c r="C92" s="103">
        <f t="shared" si="3"/>
        <v>-0.6845471059286922</v>
      </c>
      <c r="D92" s="101">
        <f t="shared" si="4"/>
        <v>0.4686047402353481</v>
      </c>
      <c r="E92" s="23"/>
      <c r="F92" s="102"/>
      <c r="G92" s="23"/>
      <c r="H92" s="23"/>
    </row>
    <row r="93" spans="1:8" ht="13.5">
      <c r="A93" s="23">
        <v>90</v>
      </c>
      <c r="B93" s="100">
        <f t="shared" si="5"/>
        <v>5.592034923389827</v>
      </c>
      <c r="C93" s="103">
        <f t="shared" si="3"/>
        <v>-0.6374239897486937</v>
      </c>
      <c r="D93" s="101">
        <f t="shared" si="4"/>
        <v>0.4063093427071428</v>
      </c>
      <c r="E93" s="23"/>
      <c r="F93" s="102"/>
      <c r="G93" s="23"/>
      <c r="H93" s="23"/>
    </row>
    <row r="94" spans="1:8" ht="13.5">
      <c r="A94" s="23">
        <v>91</v>
      </c>
      <c r="B94" s="100">
        <f t="shared" si="5"/>
        <v>5.654866776461622</v>
      </c>
      <c r="C94" s="103">
        <f t="shared" si="3"/>
        <v>-0.5877852522924776</v>
      </c>
      <c r="D94" s="101">
        <f t="shared" si="4"/>
        <v>0.3454915028125315</v>
      </c>
      <c r="E94" s="23"/>
      <c r="F94" s="102"/>
      <c r="G94" s="23"/>
      <c r="H94" s="23"/>
    </row>
    <row r="95" spans="1:8" ht="13.5">
      <c r="A95" s="23">
        <v>92</v>
      </c>
      <c r="B95" s="100">
        <f t="shared" si="5"/>
        <v>5.717698629533418</v>
      </c>
      <c r="C95" s="103">
        <f t="shared" si="3"/>
        <v>-0.5358267949790017</v>
      </c>
      <c r="D95" s="101">
        <f t="shared" si="4"/>
        <v>0.28711035421746905</v>
      </c>
      <c r="E95" s="23"/>
      <c r="F95" s="102"/>
      <c r="G95" s="23"/>
      <c r="H95" s="23"/>
    </row>
    <row r="96" spans="1:8" ht="13.5">
      <c r="A96" s="23">
        <v>93</v>
      </c>
      <c r="B96" s="100">
        <f t="shared" si="5"/>
        <v>5.780530482605213</v>
      </c>
      <c r="C96" s="103">
        <f t="shared" si="3"/>
        <v>-0.48175367410172076</v>
      </c>
      <c r="D96" s="101">
        <f t="shared" si="4"/>
        <v>0.23208660251050697</v>
      </c>
      <c r="E96" s="23"/>
      <c r="F96" s="102"/>
      <c r="G96" s="23"/>
      <c r="H96" s="23"/>
    </row>
    <row r="97" spans="1:8" ht="13.5">
      <c r="A97" s="23">
        <v>94</v>
      </c>
      <c r="B97" s="100">
        <f t="shared" si="5"/>
        <v>5.843362335677009</v>
      </c>
      <c r="C97" s="103">
        <f t="shared" si="3"/>
        <v>-0.42577929156507865</v>
      </c>
      <c r="D97" s="101">
        <f t="shared" si="4"/>
        <v>0.18128800512566026</v>
      </c>
      <c r="E97" s="23"/>
      <c r="F97" s="102"/>
      <c r="H97" s="23"/>
    </row>
    <row r="98" spans="1:6" ht="13.5">
      <c r="A98" s="23">
        <v>95</v>
      </c>
      <c r="B98" s="100">
        <f t="shared" si="5"/>
        <v>5.906194188748804</v>
      </c>
      <c r="C98" s="103">
        <f t="shared" si="3"/>
        <v>-0.36812455268468447</v>
      </c>
      <c r="D98" s="101">
        <f t="shared" si="4"/>
        <v>0.13551568628929903</v>
      </c>
      <c r="E98" s="23"/>
      <c r="F98" s="102"/>
    </row>
    <row r="99" spans="1:6" ht="13.5">
      <c r="A99" s="23">
        <v>96</v>
      </c>
      <c r="B99" s="100">
        <f t="shared" si="5"/>
        <v>5.9690260418206</v>
      </c>
      <c r="C99" s="103">
        <f t="shared" si="3"/>
        <v>-0.3090169943749544</v>
      </c>
      <c r="D99" s="101">
        <f t="shared" si="4"/>
        <v>0.09549150281253059</v>
      </c>
      <c r="E99" s="23"/>
      <c r="F99" s="102"/>
    </row>
    <row r="100" spans="1:6" ht="13.5">
      <c r="A100" s="23">
        <v>97</v>
      </c>
      <c r="B100" s="100">
        <f t="shared" si="5"/>
        <v>6.031857894892395</v>
      </c>
      <c r="C100" s="103">
        <f t="shared" si="3"/>
        <v>-0.24868988716486223</v>
      </c>
      <c r="D100" s="101">
        <f t="shared" si="4"/>
        <v>0.061846659978071906</v>
      </c>
      <c r="E100" s="23"/>
      <c r="F100" s="102"/>
    </row>
    <row r="101" spans="1:6" ht="13.5">
      <c r="A101" s="23">
        <v>98</v>
      </c>
      <c r="B101" s="100">
        <f t="shared" si="5"/>
        <v>6.094689747964191</v>
      </c>
      <c r="C101" s="103">
        <f t="shared" si="3"/>
        <v>-0.18738131458573254</v>
      </c>
      <c r="D101" s="101">
        <f t="shared" si="4"/>
        <v>0.03511175705587726</v>
      </c>
      <c r="E101" s="23"/>
      <c r="F101" s="102"/>
    </row>
    <row r="102" spans="1:6" ht="13.5">
      <c r="A102" s="23">
        <v>99</v>
      </c>
      <c r="B102" s="100">
        <f t="shared" si="5"/>
        <v>6.157521601035986</v>
      </c>
      <c r="C102" s="103">
        <f t="shared" si="3"/>
        <v>-0.12533323356431258</v>
      </c>
      <c r="D102" s="101">
        <f t="shared" si="4"/>
        <v>0.01570841943568653</v>
      </c>
      <c r="E102" s="23"/>
      <c r="F102" s="102"/>
    </row>
    <row r="103" spans="1:6" ht="13.5">
      <c r="A103" s="23">
        <v>100</v>
      </c>
      <c r="B103" s="100">
        <f t="shared" si="5"/>
        <v>6.220353454107782</v>
      </c>
      <c r="C103" s="103">
        <f t="shared" si="3"/>
        <v>-0.06279051952932213</v>
      </c>
      <c r="D103" s="101">
        <f t="shared" si="4"/>
        <v>0.0039426493427621835</v>
      </c>
      <c r="E103" s="23"/>
      <c r="F103" s="102"/>
    </row>
    <row r="104" spans="1:4" ht="13.5">
      <c r="A104" s="29">
        <v>101</v>
      </c>
      <c r="B104" s="104">
        <f t="shared" si="5"/>
        <v>6.283185307179577</v>
      </c>
      <c r="C104" s="105">
        <f t="shared" si="3"/>
        <v>-9.126813887982976E-15</v>
      </c>
      <c r="D104" s="106">
        <f t="shared" si="4"/>
        <v>8.329873174587893E-29</v>
      </c>
    </row>
    <row r="105" spans="1:4" ht="13.5">
      <c r="A105" s="23"/>
      <c r="B105" s="107" t="s">
        <v>75</v>
      </c>
      <c r="C105" s="108">
        <f>SUM(C4:C54)</f>
        <v>31.82051595377393</v>
      </c>
      <c r="D105" s="109">
        <f>SUM(D4:D104)</f>
        <v>50.00000000000009</v>
      </c>
    </row>
    <row r="106" spans="1:3" ht="13.5">
      <c r="A106" s="23"/>
      <c r="B106" s="110"/>
      <c r="C106" s="202" t="s">
        <v>76</v>
      </c>
    </row>
    <row r="107" spans="1:3" ht="13.5">
      <c r="A107" s="23"/>
      <c r="B107" s="110"/>
      <c r="C107" s="202" t="s">
        <v>77</v>
      </c>
    </row>
    <row r="108" ht="14.25">
      <c r="A108" s="23"/>
    </row>
    <row r="109" spans="1:7" ht="14.25">
      <c r="A109" s="23"/>
      <c r="B109" s="112" t="s">
        <v>78</v>
      </c>
      <c r="C109" s="113">
        <f>C105/50</f>
        <v>0.6364103190754786</v>
      </c>
      <c r="D109" s="114" t="s">
        <v>79</v>
      </c>
      <c r="E109" s="115"/>
      <c r="F109" s="115"/>
      <c r="G109" s="116"/>
    </row>
    <row r="110" spans="1:8" ht="13.5">
      <c r="A110" s="23"/>
      <c r="B110" s="117" t="s">
        <v>80</v>
      </c>
      <c r="C110" s="118">
        <f>SQRT(D105/100)</f>
        <v>0.7071067811865481</v>
      </c>
      <c r="D110" s="119" t="s">
        <v>81</v>
      </c>
      <c r="E110" s="22"/>
      <c r="G110" s="120"/>
      <c r="H110" s="119" t="s">
        <v>82</v>
      </c>
    </row>
    <row r="111" spans="1:7" ht="14.25">
      <c r="A111" s="23"/>
      <c r="B111" s="121" t="s">
        <v>83</v>
      </c>
      <c r="C111" s="122">
        <v>1</v>
      </c>
      <c r="D111" s="123"/>
      <c r="E111" s="123"/>
      <c r="F111" s="124"/>
      <c r="G111" s="125"/>
    </row>
    <row r="112" spans="1:6" ht="13.5">
      <c r="A112" s="23"/>
      <c r="B112" s="126"/>
      <c r="C112" s="107"/>
      <c r="D112" s="127"/>
      <c r="E112" s="22"/>
      <c r="F112" s="22"/>
    </row>
    <row r="113" spans="1:6" ht="13.5">
      <c r="A113" s="23"/>
      <c r="B113" s="126"/>
      <c r="C113" s="107"/>
      <c r="D113" s="127"/>
      <c r="E113" s="22"/>
      <c r="F113" s="22"/>
    </row>
    <row r="114" spans="1:6" ht="13.5">
      <c r="A114" s="23"/>
      <c r="B114" s="126"/>
      <c r="C114" s="107"/>
      <c r="D114" s="127"/>
      <c r="E114" s="22"/>
      <c r="F114" s="22"/>
    </row>
    <row r="115" spans="1:6" ht="13.5">
      <c r="A115" s="23"/>
      <c r="B115" s="126"/>
      <c r="C115" s="107"/>
      <c r="D115" s="127"/>
      <c r="E115" s="22"/>
      <c r="F115" s="22"/>
    </row>
    <row r="116" spans="1:6" ht="13.5">
      <c r="A116" s="23"/>
      <c r="B116" s="126"/>
      <c r="C116" s="107"/>
      <c r="D116" s="127"/>
      <c r="E116" s="22"/>
      <c r="F116" s="22"/>
    </row>
    <row r="117" spans="1:6" ht="13.5">
      <c r="A117" s="23"/>
      <c r="B117" s="126"/>
      <c r="C117" s="107"/>
      <c r="D117" s="127"/>
      <c r="E117" s="22"/>
      <c r="F117" s="22"/>
    </row>
    <row r="118" spans="1:6" ht="13.5">
      <c r="A118" s="23"/>
      <c r="B118" s="126"/>
      <c r="C118" s="107"/>
      <c r="D118" s="127"/>
      <c r="E118" s="22"/>
      <c r="F118" s="22"/>
    </row>
    <row r="119" spans="1:6" ht="13.5">
      <c r="A119" s="23"/>
      <c r="B119" s="126"/>
      <c r="C119" s="107"/>
      <c r="D119" s="127"/>
      <c r="E119" s="22"/>
      <c r="F119" s="22"/>
    </row>
    <row r="120" spans="1:6" ht="13.5">
      <c r="A120" s="23"/>
      <c r="B120" s="126"/>
      <c r="C120" s="107"/>
      <c r="D120" s="127"/>
      <c r="E120" s="22"/>
      <c r="F120" s="22"/>
    </row>
    <row r="121" spans="1:6" ht="13.5">
      <c r="A121" s="23"/>
      <c r="B121" s="126"/>
      <c r="C121" s="107"/>
      <c r="D121" s="127"/>
      <c r="E121" s="22"/>
      <c r="F121" s="22"/>
    </row>
    <row r="122" spans="1:6" ht="13.5">
      <c r="A122" s="23"/>
      <c r="B122" s="126"/>
      <c r="C122" s="107"/>
      <c r="D122" s="127"/>
      <c r="E122" s="22"/>
      <c r="F122" s="22"/>
    </row>
    <row r="123" spans="1:6" ht="13.5">
      <c r="A123" s="23"/>
      <c r="B123" s="126"/>
      <c r="C123" s="107"/>
      <c r="D123" s="127"/>
      <c r="E123" s="22"/>
      <c r="F123" s="22"/>
    </row>
    <row r="124" spans="1:6" ht="13.5">
      <c r="A124" s="23"/>
      <c r="B124" s="126"/>
      <c r="C124" s="107"/>
      <c r="D124" s="127"/>
      <c r="E124" s="22"/>
      <c r="F124" s="22"/>
    </row>
    <row r="125" spans="1:6" ht="13.5">
      <c r="A125" s="23"/>
      <c r="B125" s="126"/>
      <c r="C125" s="107"/>
      <c r="D125" s="127"/>
      <c r="E125" s="22"/>
      <c r="F125" s="22"/>
    </row>
    <row r="126" spans="1:6" ht="13.5">
      <c r="A126" s="23"/>
      <c r="B126" s="126"/>
      <c r="C126" s="107"/>
      <c r="D126" s="127"/>
      <c r="E126" s="22"/>
      <c r="F126" s="22"/>
    </row>
    <row r="127" spans="1:6" ht="13.5">
      <c r="A127" s="23"/>
      <c r="B127" s="126"/>
      <c r="C127" s="107"/>
      <c r="D127" s="127"/>
      <c r="E127" s="22"/>
      <c r="F127" s="22"/>
    </row>
    <row r="128" spans="1:6" ht="13.5">
      <c r="A128" s="23"/>
      <c r="B128" s="126"/>
      <c r="C128" s="107"/>
      <c r="D128" s="127"/>
      <c r="E128" s="22"/>
      <c r="F128" s="22"/>
    </row>
    <row r="129" spans="1:6" ht="13.5">
      <c r="A129" s="23"/>
      <c r="B129" s="126"/>
      <c r="C129" s="107"/>
      <c r="D129" s="127"/>
      <c r="E129" s="22"/>
      <c r="F129" s="22"/>
    </row>
    <row r="130" spans="1:6" ht="13.5">
      <c r="A130" s="23"/>
      <c r="B130" s="126"/>
      <c r="C130" s="107"/>
      <c r="D130" s="127"/>
      <c r="E130" s="22"/>
      <c r="F130" s="22"/>
    </row>
    <row r="131" spans="1:6" ht="13.5">
      <c r="A131" s="23"/>
      <c r="B131" s="126"/>
      <c r="C131" s="107"/>
      <c r="D131" s="127"/>
      <c r="E131" s="22"/>
      <c r="F131" s="22"/>
    </row>
    <row r="132" spans="1:6" ht="13.5">
      <c r="A132" s="23"/>
      <c r="B132" s="126"/>
      <c r="C132" s="107"/>
      <c r="D132" s="127"/>
      <c r="E132" s="22"/>
      <c r="F132" s="22"/>
    </row>
    <row r="133" spans="1:6" ht="13.5">
      <c r="A133" s="23"/>
      <c r="B133" s="126"/>
      <c r="C133" s="107"/>
      <c r="D133" s="127"/>
      <c r="E133" s="22"/>
      <c r="F133" s="22"/>
    </row>
    <row r="134" spans="1:6" ht="13.5">
      <c r="A134" s="23"/>
      <c r="B134" s="126"/>
      <c r="C134" s="107"/>
      <c r="D134" s="127"/>
      <c r="E134" s="22"/>
      <c r="F134" s="22"/>
    </row>
    <row r="135" spans="1:6" ht="13.5">
      <c r="A135" s="23"/>
      <c r="B135" s="126"/>
      <c r="C135" s="107"/>
      <c r="D135" s="127"/>
      <c r="E135" s="22"/>
      <c r="F135" s="22"/>
    </row>
    <row r="136" spans="1:6" ht="13.5">
      <c r="A136" s="23"/>
      <c r="B136" s="126"/>
      <c r="C136" s="107"/>
      <c r="D136" s="127"/>
      <c r="E136" s="22"/>
      <c r="F136" s="22"/>
    </row>
    <row r="137" spans="1:6" ht="13.5">
      <c r="A137" s="23"/>
      <c r="B137" s="126"/>
      <c r="C137" s="107"/>
      <c r="D137" s="127"/>
      <c r="E137" s="22"/>
      <c r="F137" s="22"/>
    </row>
    <row r="138" spans="1:6" ht="13.5">
      <c r="A138" s="23"/>
      <c r="B138" s="126"/>
      <c r="C138" s="107"/>
      <c r="D138" s="127"/>
      <c r="E138" s="22"/>
      <c r="F138" s="22"/>
    </row>
    <row r="139" spans="1:6" ht="13.5">
      <c r="A139" s="23"/>
      <c r="B139" s="126"/>
      <c r="C139" s="107"/>
      <c r="D139" s="127"/>
      <c r="E139" s="22"/>
      <c r="F139" s="22"/>
    </row>
    <row r="140" spans="1:6" ht="13.5">
      <c r="A140" s="23"/>
      <c r="B140" s="126"/>
      <c r="C140" s="107"/>
      <c r="D140" s="127"/>
      <c r="E140" s="22"/>
      <c r="F140" s="22"/>
    </row>
    <row r="141" spans="1:6" ht="13.5">
      <c r="A141" s="23"/>
      <c r="B141" s="126"/>
      <c r="C141" s="107"/>
      <c r="D141" s="127"/>
      <c r="E141" s="22"/>
      <c r="F141" s="22"/>
    </row>
    <row r="142" spans="1:6" ht="13.5">
      <c r="A142" s="23"/>
      <c r="B142" s="126"/>
      <c r="C142" s="107"/>
      <c r="D142" s="127"/>
      <c r="E142" s="22"/>
      <c r="F142" s="22"/>
    </row>
    <row r="143" spans="1:6" ht="13.5">
      <c r="A143" s="23"/>
      <c r="B143" s="126"/>
      <c r="C143" s="107"/>
      <c r="D143" s="127"/>
      <c r="E143" s="22"/>
      <c r="F143" s="22"/>
    </row>
    <row r="144" spans="1:6" ht="13.5">
      <c r="A144" s="23"/>
      <c r="B144" s="126"/>
      <c r="C144" s="107"/>
      <c r="D144" s="127"/>
      <c r="E144" s="22"/>
      <c r="F144" s="22"/>
    </row>
    <row r="145" spans="1:6" ht="13.5">
      <c r="A145" s="23"/>
      <c r="B145" s="126"/>
      <c r="C145" s="107"/>
      <c r="D145" s="127"/>
      <c r="E145" s="22"/>
      <c r="F145" s="22"/>
    </row>
    <row r="146" spans="1:6" ht="13.5">
      <c r="A146" s="23"/>
      <c r="B146" s="126"/>
      <c r="C146" s="107"/>
      <c r="D146" s="127"/>
      <c r="E146" s="22"/>
      <c r="F146" s="22"/>
    </row>
    <row r="147" spans="1:6" ht="13.5">
      <c r="A147" s="23"/>
      <c r="B147" s="126"/>
      <c r="C147" s="107"/>
      <c r="D147" s="127"/>
      <c r="E147" s="22"/>
      <c r="F147" s="22"/>
    </row>
    <row r="148" spans="1:6" ht="13.5">
      <c r="A148" s="23"/>
      <c r="B148" s="126"/>
      <c r="C148" s="107"/>
      <c r="D148" s="127"/>
      <c r="E148" s="22"/>
      <c r="F148" s="22"/>
    </row>
    <row r="149" spans="1:6" ht="13.5">
      <c r="A149" s="23"/>
      <c r="B149" s="126"/>
      <c r="C149" s="107"/>
      <c r="D149" s="127"/>
      <c r="E149" s="22"/>
      <c r="F149" s="22"/>
    </row>
    <row r="150" spans="1:6" ht="13.5">
      <c r="A150" s="23"/>
      <c r="B150" s="126"/>
      <c r="C150" s="107"/>
      <c r="D150" s="127"/>
      <c r="E150" s="22"/>
      <c r="F150" s="22"/>
    </row>
    <row r="151" spans="1:6" ht="13.5">
      <c r="A151" s="23"/>
      <c r="B151" s="126"/>
      <c r="C151" s="107"/>
      <c r="D151" s="127"/>
      <c r="E151" s="22"/>
      <c r="F151" s="22"/>
    </row>
    <row r="152" spans="1:6" ht="13.5">
      <c r="A152" s="23"/>
      <c r="B152" s="126"/>
      <c r="C152" s="107"/>
      <c r="D152" s="127"/>
      <c r="E152" s="22"/>
      <c r="F152" s="22"/>
    </row>
    <row r="153" spans="1:6" ht="13.5">
      <c r="A153" s="23"/>
      <c r="B153" s="126"/>
      <c r="C153" s="107"/>
      <c r="D153" s="127"/>
      <c r="E153" s="22"/>
      <c r="F153" s="22"/>
    </row>
    <row r="154" spans="1:6" ht="13.5">
      <c r="A154" s="23"/>
      <c r="B154" s="126"/>
      <c r="C154" s="107"/>
      <c r="D154" s="127"/>
      <c r="E154" s="22"/>
      <c r="F154" s="22"/>
    </row>
    <row r="155" spans="1:6" ht="13.5">
      <c r="A155" s="23"/>
      <c r="B155" s="126"/>
      <c r="C155" s="107"/>
      <c r="D155" s="127"/>
      <c r="E155" s="22"/>
      <c r="F155" s="22"/>
    </row>
    <row r="156" spans="1:6" ht="13.5">
      <c r="A156" s="23"/>
      <c r="B156" s="126"/>
      <c r="C156" s="107"/>
      <c r="D156" s="127"/>
      <c r="E156" s="22"/>
      <c r="F156" s="22"/>
    </row>
    <row r="157" spans="1:6" ht="13.5">
      <c r="A157" s="23"/>
      <c r="B157" s="126"/>
      <c r="C157" s="107"/>
      <c r="D157" s="127"/>
      <c r="E157" s="22"/>
      <c r="F157" s="22"/>
    </row>
    <row r="158" spans="1:6" ht="13.5">
      <c r="A158" s="23"/>
      <c r="B158" s="126"/>
      <c r="C158" s="107"/>
      <c r="D158" s="127"/>
      <c r="E158" s="22"/>
      <c r="F158" s="22"/>
    </row>
    <row r="159" spans="1:6" ht="13.5">
      <c r="A159" s="23"/>
      <c r="B159" s="126"/>
      <c r="C159" s="107"/>
      <c r="D159" s="127"/>
      <c r="E159" s="22"/>
      <c r="F159" s="22"/>
    </row>
    <row r="160" spans="1:6" ht="13.5">
      <c r="A160" s="23"/>
      <c r="B160" s="126"/>
      <c r="C160" s="107"/>
      <c r="D160" s="127"/>
      <c r="E160" s="22"/>
      <c r="F160" s="22"/>
    </row>
    <row r="161" spans="1:6" ht="13.5">
      <c r="A161" s="23"/>
      <c r="B161" s="126"/>
      <c r="C161" s="107"/>
      <c r="D161" s="127"/>
      <c r="E161" s="22"/>
      <c r="F161" s="22"/>
    </row>
    <row r="162" spans="1:6" ht="13.5">
      <c r="A162" s="23"/>
      <c r="B162" s="126"/>
      <c r="C162" s="107"/>
      <c r="D162" s="127"/>
      <c r="F162" s="22"/>
    </row>
    <row r="163" spans="1:4" ht="13.5">
      <c r="A163" s="23"/>
      <c r="B163" s="126"/>
      <c r="C163" s="107"/>
      <c r="D163" s="127"/>
    </row>
    <row r="164" ht="13.5">
      <c r="E164" s="23" t="s">
        <v>53</v>
      </c>
    </row>
    <row r="165" spans="1:5" ht="13.5">
      <c r="A165" s="23" t="s">
        <v>84</v>
      </c>
      <c r="E165" s="23" t="s">
        <v>53</v>
      </c>
    </row>
    <row r="166" spans="2:5" ht="13.5">
      <c r="B166" s="23" t="s">
        <v>52</v>
      </c>
      <c r="C166" s="23"/>
      <c r="D166" s="128">
        <v>5</v>
      </c>
      <c r="E166" s="23" t="s">
        <v>53</v>
      </c>
    </row>
    <row r="167" spans="2:4" ht="13.5">
      <c r="B167" s="23" t="s">
        <v>56</v>
      </c>
      <c r="D167" s="128">
        <v>0.05</v>
      </c>
    </row>
    <row r="168" spans="2:5" ht="13.5">
      <c r="B168" s="23" t="s">
        <v>58</v>
      </c>
      <c r="C168" s="23"/>
      <c r="D168" s="129">
        <f>D166-D167</f>
        <v>4.95</v>
      </c>
      <c r="E168" s="23" t="s">
        <v>60</v>
      </c>
    </row>
    <row r="169" ht="13.5">
      <c r="E169" s="23" t="s">
        <v>63</v>
      </c>
    </row>
    <row r="170" ht="13.5">
      <c r="B170" s="23" t="s">
        <v>59</v>
      </c>
    </row>
    <row r="171" spans="2:7" ht="13.5">
      <c r="B171" s="23" t="s">
        <v>62</v>
      </c>
      <c r="E171" s="22" t="s">
        <v>6</v>
      </c>
      <c r="F171" s="130">
        <f>20*LOG(D168/D167)</f>
        <v>39.912703891951</v>
      </c>
      <c r="G171" s="23" t="s">
        <v>19</v>
      </c>
    </row>
    <row r="172" spans="2:6" ht="13.5">
      <c r="B172" s="130">
        <f>20*LOG(D166/D167)</f>
        <v>40</v>
      </c>
      <c r="C172" s="23" t="s">
        <v>19</v>
      </c>
      <c r="F172" s="22" t="s">
        <v>85</v>
      </c>
    </row>
    <row r="173" spans="3:4" ht="13.5">
      <c r="C173" s="131" t="s">
        <v>68</v>
      </c>
      <c r="D173" s="132">
        <f>B172-F171</f>
        <v>0.0872961080490029</v>
      </c>
    </row>
  </sheetData>
  <sheetProtection/>
  <printOptions/>
  <pageMargins left="0.75" right="0.75" top="1" bottom="1" header="0.512" footer="0.512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9">
      <selection activeCell="K33" sqref="K33"/>
    </sheetView>
  </sheetViews>
  <sheetFormatPr defaultColWidth="8.8515625" defaultRowHeight="15"/>
  <cols>
    <col min="2" max="2" width="13.00390625" style="0" customWidth="1"/>
    <col min="3" max="3" width="15.28125" style="0" customWidth="1"/>
    <col min="4" max="4" width="15.140625" style="0" customWidth="1"/>
    <col min="5" max="5" width="14.140625" style="0" customWidth="1"/>
    <col min="6" max="6" width="15.140625" style="0" customWidth="1"/>
    <col min="7" max="7" width="13.7109375" style="0" customWidth="1"/>
    <col min="8" max="8" width="12.421875" style="0" customWidth="1"/>
    <col min="9" max="9" width="14.57421875" style="0" customWidth="1"/>
    <col min="11" max="11" width="14.00390625" style="0" customWidth="1"/>
  </cols>
  <sheetData>
    <row r="1" ht="13.5">
      <c r="A1" s="2" t="s">
        <v>86</v>
      </c>
    </row>
    <row r="2" ht="13.5">
      <c r="B2" s="2" t="s">
        <v>87</v>
      </c>
    </row>
    <row r="3" spans="2:5" ht="13.5">
      <c r="B3" s="45"/>
      <c r="C3" s="45" t="s">
        <v>88</v>
      </c>
      <c r="D3" s="45" t="s">
        <v>89</v>
      </c>
      <c r="E3" s="45" t="s">
        <v>90</v>
      </c>
    </row>
    <row r="4" spans="2:5" ht="13.5">
      <c r="B4" s="45" t="s">
        <v>91</v>
      </c>
      <c r="C4" s="45" t="s">
        <v>92</v>
      </c>
      <c r="D4" s="45" t="s">
        <v>93</v>
      </c>
      <c r="E4" s="45" t="s">
        <v>94</v>
      </c>
    </row>
    <row r="5" spans="2:5" ht="13.5">
      <c r="B5" s="45" t="s">
        <v>95</v>
      </c>
      <c r="C5" s="45" t="s">
        <v>96</v>
      </c>
      <c r="D5" s="45" t="s">
        <v>97</v>
      </c>
      <c r="E5" s="45" t="s">
        <v>94</v>
      </c>
    </row>
    <row r="7" ht="13.5">
      <c r="B7" s="2" t="s">
        <v>98</v>
      </c>
    </row>
    <row r="8" spans="2:6" ht="13.5">
      <c r="B8" s="46" t="s">
        <v>99</v>
      </c>
      <c r="C8" s="47"/>
      <c r="D8" s="47"/>
      <c r="E8" s="47"/>
      <c r="F8" s="48"/>
    </row>
    <row r="9" spans="2:6" ht="13.5">
      <c r="B9" s="49">
        <v>10</v>
      </c>
      <c r="C9" s="50">
        <v>0.625</v>
      </c>
      <c r="D9" s="51" t="s">
        <v>100</v>
      </c>
      <c r="E9" s="52">
        <f>25.4*(B9+C9)</f>
        <v>269.875</v>
      </c>
      <c r="F9" s="53" t="s">
        <v>101</v>
      </c>
    </row>
    <row r="10" spans="2:6" ht="13.5">
      <c r="B10" s="54" t="s">
        <v>102</v>
      </c>
      <c r="C10" s="55"/>
      <c r="D10" s="55"/>
      <c r="E10" s="55"/>
      <c r="F10" s="56"/>
    </row>
    <row r="11" spans="2:6" ht="13.5">
      <c r="B11" s="49">
        <v>220.4</v>
      </c>
      <c r="C11" s="51" t="s">
        <v>101</v>
      </c>
      <c r="D11" s="51"/>
      <c r="E11" s="57">
        <f>B11/25.4</f>
        <v>8.67716535433071</v>
      </c>
      <c r="F11" s="53" t="s">
        <v>100</v>
      </c>
    </row>
    <row r="12" spans="2:6" ht="13.5">
      <c r="B12" s="58" t="s">
        <v>103</v>
      </c>
      <c r="C12" s="47"/>
      <c r="D12" s="47"/>
      <c r="E12" s="47"/>
      <c r="F12" s="48"/>
    </row>
    <row r="13" spans="2:6" ht="13.5">
      <c r="B13" s="49">
        <v>4.4</v>
      </c>
      <c r="C13" s="51"/>
      <c r="D13" s="51" t="s">
        <v>104</v>
      </c>
      <c r="E13" s="59">
        <f>B13*453.6</f>
        <v>1995.8400000000004</v>
      </c>
      <c r="F13" s="53" t="s">
        <v>105</v>
      </c>
    </row>
    <row r="14" spans="2:6" ht="13.5">
      <c r="B14" s="46" t="s">
        <v>106</v>
      </c>
      <c r="C14" s="47"/>
      <c r="D14" s="47"/>
      <c r="E14" s="47"/>
      <c r="F14" s="48"/>
    </row>
    <row r="15" spans="2:6" ht="13.5">
      <c r="B15" s="49">
        <v>2</v>
      </c>
      <c r="C15" s="60">
        <v>0.5</v>
      </c>
      <c r="D15" s="51" t="s">
        <v>107</v>
      </c>
      <c r="E15" s="61">
        <f>28.35*(B15+C15)</f>
        <v>70.875</v>
      </c>
      <c r="F15" s="53" t="s">
        <v>105</v>
      </c>
    </row>
    <row r="17" spans="2:11" ht="13.5">
      <c r="B17" s="62" t="s">
        <v>108</v>
      </c>
      <c r="C17" s="25"/>
      <c r="E17" s="55"/>
      <c r="F17" s="63" t="s">
        <v>109</v>
      </c>
      <c r="G17" s="64"/>
      <c r="H17" s="65"/>
      <c r="I17" s="98"/>
      <c r="J17" s="65"/>
      <c r="K17" s="98"/>
    </row>
    <row r="18" spans="2:11" ht="13.5">
      <c r="B18" s="66" t="s">
        <v>110</v>
      </c>
      <c r="C18" s="66" t="s">
        <v>111</v>
      </c>
      <c r="D18" s="45" t="s">
        <v>112</v>
      </c>
      <c r="F18" s="67">
        <v>10</v>
      </c>
      <c r="G18" s="55" t="s">
        <v>113</v>
      </c>
      <c r="H18" s="67">
        <v>7.5</v>
      </c>
      <c r="I18" s="56" t="s">
        <v>114</v>
      </c>
      <c r="J18" s="67">
        <v>1</v>
      </c>
      <c r="K18" s="56" t="s">
        <v>15</v>
      </c>
    </row>
    <row r="19" spans="2:11" ht="13.5">
      <c r="B19" s="11">
        <f>D19*10^(-6)</f>
        <v>8E-06</v>
      </c>
      <c r="C19" s="42">
        <f>D19/1000</f>
        <v>0.008</v>
      </c>
      <c r="D19" s="68">
        <v>8</v>
      </c>
      <c r="F19" s="67">
        <v>1</v>
      </c>
      <c r="G19" s="55" t="s">
        <v>115</v>
      </c>
      <c r="H19" s="67">
        <v>60</v>
      </c>
      <c r="I19" s="56" t="s">
        <v>115</v>
      </c>
      <c r="J19" s="67">
        <v>18</v>
      </c>
      <c r="K19" s="56" t="s">
        <v>101</v>
      </c>
    </row>
    <row r="20" spans="2:11" ht="13.5">
      <c r="B20" s="11">
        <f>D20*10^(-6)</f>
        <v>8E-06</v>
      </c>
      <c r="C20" s="68">
        <v>0.008</v>
      </c>
      <c r="D20" s="42">
        <f>C20*1000</f>
        <v>8</v>
      </c>
      <c r="F20" s="69">
        <f>(F19/10^4)/(0.001*980*F18)</f>
        <v>1.0204081632653061E-05</v>
      </c>
      <c r="G20" s="55" t="s">
        <v>110</v>
      </c>
      <c r="H20" s="11">
        <f>(H19/10^3)/(H18/10^3)</f>
        <v>8</v>
      </c>
      <c r="I20" s="56" t="s">
        <v>116</v>
      </c>
      <c r="J20" s="11">
        <f>J19/J18</f>
        <v>18</v>
      </c>
      <c r="K20" s="56" t="s">
        <v>116</v>
      </c>
    </row>
    <row r="21" spans="2:11" ht="13.5">
      <c r="B21" s="5">
        <v>980</v>
      </c>
      <c r="C21" s="42">
        <f>B21*1000</f>
        <v>980000</v>
      </c>
      <c r="D21" s="42">
        <f>B21*10^6</f>
        <v>980000000</v>
      </c>
      <c r="F21" s="70">
        <f>F20*10^6</f>
        <v>10.204081632653061</v>
      </c>
      <c r="G21" s="51" t="s">
        <v>117</v>
      </c>
      <c r="H21" s="11">
        <f>H20</f>
        <v>8</v>
      </c>
      <c r="I21" s="53" t="s">
        <v>117</v>
      </c>
      <c r="J21" s="11">
        <f>J20</f>
        <v>18</v>
      </c>
      <c r="K21" s="53" t="s">
        <v>117</v>
      </c>
    </row>
    <row r="22" spans="2:11" ht="13.5">
      <c r="B22" s="9"/>
      <c r="C22" s="71"/>
      <c r="D22" s="71"/>
      <c r="E22" s="72"/>
      <c r="F22" s="73"/>
      <c r="G22" s="9"/>
      <c r="H22" s="9"/>
      <c r="I22" s="9"/>
      <c r="J22" s="9"/>
      <c r="K22" s="55"/>
    </row>
    <row r="23" spans="2:7" ht="15">
      <c r="B23" s="74" t="s">
        <v>118</v>
      </c>
      <c r="C23" s="43"/>
      <c r="D23" s="75" t="s">
        <v>119</v>
      </c>
      <c r="F23" s="76" t="s">
        <v>120</v>
      </c>
      <c r="G23" s="77" t="s">
        <v>121</v>
      </c>
    </row>
    <row r="24" spans="2:7" ht="15.75">
      <c r="B24" s="75" t="s">
        <v>122</v>
      </c>
      <c r="C24" s="75" t="s">
        <v>123</v>
      </c>
      <c r="D24" s="75" t="s">
        <v>124</v>
      </c>
      <c r="E24" s="77" t="s">
        <v>125</v>
      </c>
      <c r="F24" s="75" t="s">
        <v>126</v>
      </c>
      <c r="G24" s="77" t="s">
        <v>127</v>
      </c>
    </row>
    <row r="25" spans="2:7" ht="15">
      <c r="B25" s="78">
        <f>D25/980</f>
        <v>1</v>
      </c>
      <c r="C25" s="79">
        <f>B25/10^3</f>
        <v>0.001</v>
      </c>
      <c r="D25" s="80">
        <v>980</v>
      </c>
      <c r="E25" s="79">
        <f>F25*10^3</f>
        <v>9.799999999999999</v>
      </c>
      <c r="F25" s="79">
        <f>D25/10^5</f>
        <v>0.0098</v>
      </c>
      <c r="G25" s="81">
        <f>F25/1000</f>
        <v>9.8E-06</v>
      </c>
    </row>
    <row r="26" spans="2:7" ht="15">
      <c r="B26" s="82">
        <f>D26/980</f>
        <v>102.04081632653062</v>
      </c>
      <c r="C26" s="83">
        <f>B26/10^3</f>
        <v>0.10204081632653061</v>
      </c>
      <c r="D26" s="83">
        <f>F26*10^5</f>
        <v>100000</v>
      </c>
      <c r="E26" s="83">
        <f>F26*10^3</f>
        <v>1000</v>
      </c>
      <c r="F26" s="84">
        <v>1</v>
      </c>
      <c r="G26" s="85">
        <f>F26/1000</f>
        <v>0.001</v>
      </c>
    </row>
    <row r="27" spans="2:7" ht="15">
      <c r="B27" s="86">
        <v>1</v>
      </c>
      <c r="C27" s="83">
        <f>B27/10^3</f>
        <v>0.001</v>
      </c>
      <c r="D27" s="83">
        <f>B27*980</f>
        <v>980</v>
      </c>
      <c r="E27" s="87">
        <f>F27*10^3</f>
        <v>9.799999999999999</v>
      </c>
      <c r="F27" s="87">
        <f>D27/10^5</f>
        <v>0.0098</v>
      </c>
      <c r="G27" s="85">
        <f>F27/1000</f>
        <v>9.8E-06</v>
      </c>
    </row>
    <row r="28" spans="2:7" s="43" customFormat="1" ht="15">
      <c r="B28" s="82">
        <f>C28/1000</f>
        <v>0.001</v>
      </c>
      <c r="C28" s="84">
        <v>1</v>
      </c>
      <c r="D28" s="83">
        <f>B28*980</f>
        <v>0.98</v>
      </c>
      <c r="E28" s="83">
        <f>D28/100</f>
        <v>0.0098</v>
      </c>
      <c r="F28" s="83">
        <f>E28/1000</f>
        <v>9.8E-06</v>
      </c>
      <c r="G28" s="85">
        <f>F28/1000</f>
        <v>9.8E-09</v>
      </c>
    </row>
    <row r="29" spans="2:7" s="43" customFormat="1" ht="15">
      <c r="B29" s="82">
        <f>D29/980</f>
        <v>0.10204081632653061</v>
      </c>
      <c r="C29" s="83">
        <f>B29/1000</f>
        <v>0.00010204081632653062</v>
      </c>
      <c r="D29" s="83">
        <f>E29*100</f>
        <v>100</v>
      </c>
      <c r="E29" s="84">
        <v>1</v>
      </c>
      <c r="F29" s="83">
        <f>E29/1000</f>
        <v>0.001</v>
      </c>
      <c r="G29" s="85">
        <f>F29/1000</f>
        <v>1E-06</v>
      </c>
    </row>
    <row r="30" spans="2:7" s="43" customFormat="1" ht="15.75">
      <c r="B30" s="88">
        <f>D30/980</f>
        <v>102040.8163265306</v>
      </c>
      <c r="C30" s="89">
        <f>B30/1000</f>
        <v>102.0408163265306</v>
      </c>
      <c r="D30" s="89">
        <f>E30*100</f>
        <v>100000000</v>
      </c>
      <c r="E30" s="89">
        <f>F30*1000</f>
        <v>1000000</v>
      </c>
      <c r="F30" s="89">
        <f>G30*1000</f>
        <v>1000</v>
      </c>
      <c r="G30" s="90">
        <v>1</v>
      </c>
    </row>
    <row r="31" s="43" customFormat="1" ht="15"/>
    <row r="32" spans="2:5" s="43" customFormat="1" ht="15">
      <c r="B32" s="91" t="s">
        <v>128</v>
      </c>
      <c r="C32" s="91" t="s">
        <v>129</v>
      </c>
      <c r="D32" s="43" t="s">
        <v>130</v>
      </c>
      <c r="E32" s="43" t="s">
        <v>131</v>
      </c>
    </row>
    <row r="33" spans="2:5" s="43" customFormat="1" ht="15">
      <c r="B33" s="84">
        <v>1</v>
      </c>
      <c r="C33" s="92">
        <f>B33*1000</f>
        <v>1000</v>
      </c>
      <c r="D33" s="92">
        <f>C33*1000</f>
        <v>1000000</v>
      </c>
      <c r="E33" s="92">
        <f>D33*1000</f>
        <v>1000000000</v>
      </c>
    </row>
    <row r="34" spans="2:5" s="43" customFormat="1" ht="15">
      <c r="B34" s="93">
        <f>C34/1000</f>
        <v>0.08</v>
      </c>
      <c r="C34" s="84">
        <v>80</v>
      </c>
      <c r="D34" s="93">
        <f>C34*10^3</f>
        <v>80000</v>
      </c>
      <c r="E34" s="93">
        <f>D34*10^3</f>
        <v>80000000</v>
      </c>
    </row>
    <row r="35" spans="2:5" s="43" customFormat="1" ht="15">
      <c r="B35" s="93">
        <f>C35/10^3</f>
        <v>1E-06</v>
      </c>
      <c r="C35" s="93">
        <f>D35/10^3</f>
        <v>0.001</v>
      </c>
      <c r="D35" s="84">
        <v>1</v>
      </c>
      <c r="E35" s="93">
        <f>D35*10^3</f>
        <v>1000</v>
      </c>
    </row>
    <row r="36" spans="2:5" s="43" customFormat="1" ht="15">
      <c r="B36" s="93">
        <f>C36*10^-3</f>
        <v>1E-09</v>
      </c>
      <c r="C36" s="93">
        <f>D36*10^-3</f>
        <v>1E-06</v>
      </c>
      <c r="D36" s="93">
        <f>E36*10^-3</f>
        <v>0.001</v>
      </c>
      <c r="E36" s="84">
        <v>1</v>
      </c>
    </row>
    <row r="37" s="43" customFormat="1" ht="15"/>
    <row r="38" ht="14.25">
      <c r="B38" s="2" t="s">
        <v>132</v>
      </c>
    </row>
    <row r="39" spans="2:4" ht="13.5">
      <c r="B39" t="s">
        <v>133</v>
      </c>
      <c r="C39" s="94">
        <f>32+1.8*C40</f>
        <v>32</v>
      </c>
      <c r="D39" s="95">
        <v>212</v>
      </c>
    </row>
    <row r="40" spans="2:4" ht="14.25">
      <c r="B40" t="s">
        <v>134</v>
      </c>
      <c r="C40" s="96">
        <v>0</v>
      </c>
      <c r="D40" s="97">
        <f>(D39-32)/1.8</f>
        <v>100</v>
      </c>
    </row>
    <row r="42" spans="2:7" ht="13.5">
      <c r="B42" s="45" t="s">
        <v>135</v>
      </c>
      <c r="C42" s="45">
        <f>C46*10^(-10)</f>
        <v>1E-10</v>
      </c>
      <c r="D42" s="45">
        <f>D45/10^6</f>
        <v>1E-06</v>
      </c>
      <c r="E42" s="45">
        <f>E44/100</f>
        <v>0.01</v>
      </c>
      <c r="F42" s="45">
        <f>F43/100</f>
        <v>0.01</v>
      </c>
      <c r="G42" s="5">
        <v>1</v>
      </c>
    </row>
    <row r="43" spans="2:7" ht="13.5">
      <c r="B43" s="45" t="s">
        <v>136</v>
      </c>
      <c r="C43" s="45">
        <f>C42*100</f>
        <v>1E-08</v>
      </c>
      <c r="D43" s="45">
        <f>D44/10</f>
        <v>0.0001</v>
      </c>
      <c r="E43" s="45">
        <f>E44/10</f>
        <v>0.1</v>
      </c>
      <c r="F43" s="5">
        <v>1</v>
      </c>
      <c r="G43" s="45">
        <v>100</v>
      </c>
    </row>
    <row r="44" spans="2:7" ht="13.5">
      <c r="B44" s="45" t="s">
        <v>137</v>
      </c>
      <c r="C44" s="45">
        <f>C43*10</f>
        <v>1E-07</v>
      </c>
      <c r="D44" s="45">
        <f>D45/10^3</f>
        <v>0.001</v>
      </c>
      <c r="E44" s="5">
        <v>1</v>
      </c>
      <c r="F44" s="45">
        <f>F43*10</f>
        <v>10</v>
      </c>
      <c r="G44" s="45">
        <f>G42*10^4</f>
        <v>10000</v>
      </c>
    </row>
    <row r="45" spans="2:7" ht="13.5">
      <c r="B45" s="45" t="s">
        <v>138</v>
      </c>
      <c r="C45" s="45">
        <f>C42*10^6</f>
        <v>0.0001</v>
      </c>
      <c r="D45" s="5">
        <v>1</v>
      </c>
      <c r="E45" s="45">
        <f>E44*10^3</f>
        <v>1000</v>
      </c>
      <c r="F45" s="45">
        <f>F43*10^4</f>
        <v>10000</v>
      </c>
      <c r="G45" s="45">
        <f>G42*10^6</f>
        <v>1000000</v>
      </c>
    </row>
    <row r="46" spans="2:7" ht="13.5">
      <c r="B46" s="45" t="s">
        <v>139</v>
      </c>
      <c r="C46" s="5">
        <v>1</v>
      </c>
      <c r="D46" s="45">
        <f>D45*10^4</f>
        <v>10000</v>
      </c>
      <c r="E46" s="45">
        <f>E43*10^8</f>
        <v>10000000</v>
      </c>
      <c r="F46" s="45">
        <f>F43*10^8</f>
        <v>100000000</v>
      </c>
      <c r="G46" s="45">
        <f>G43*10^8</f>
        <v>10000000000</v>
      </c>
    </row>
    <row r="48" s="44" customFormat="1" ht="13.5"/>
    <row r="49" s="44" customFormat="1" ht="13.5"/>
    <row r="50" s="44" customFormat="1" ht="13.5"/>
    <row r="51" s="44" customFormat="1" ht="13.5"/>
    <row r="52" s="44" customFormat="1" ht="13.5"/>
    <row r="53" s="44" customFormat="1" ht="13.5"/>
    <row r="54" s="44" customFormat="1" ht="13.5"/>
    <row r="55" s="44" customFormat="1" ht="13.5"/>
    <row r="56" s="44" customFormat="1" ht="13.5"/>
    <row r="57" s="44" customFormat="1" ht="13.5"/>
    <row r="58" s="44" customFormat="1" ht="13.5"/>
    <row r="59" s="44" customFormat="1" ht="13.5"/>
    <row r="60" s="44" customFormat="1" ht="13.5"/>
    <row r="61" s="44" customFormat="1" ht="13.5"/>
    <row r="62" s="44" customFormat="1" ht="13.5"/>
    <row r="63" s="44" customFormat="1" ht="13.5"/>
  </sheetData>
  <sheetProtection/>
  <printOptions/>
  <pageMargins left="0.75" right="0.75" top="1" bottom="1" header="0.512" footer="0.512"/>
  <pageSetup horizontalDpi="180" verticalDpi="18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R26" sqref="R26"/>
    </sheetView>
  </sheetViews>
  <sheetFormatPr defaultColWidth="9.140625" defaultRowHeight="15"/>
  <cols>
    <col min="1" max="1" width="9.140625" style="21" customWidth="1"/>
    <col min="2" max="2" width="12.00390625" style="21" customWidth="1"/>
    <col min="3" max="16384" width="9.140625" style="21" customWidth="1"/>
  </cols>
  <sheetData>
    <row r="1" ht="13.5">
      <c r="A1" s="22" t="s">
        <v>140</v>
      </c>
    </row>
    <row r="2" ht="13.5">
      <c r="B2" s="23"/>
    </row>
    <row r="3" spans="2:4" ht="13.5">
      <c r="B3" s="24"/>
      <c r="C3" s="25" t="s">
        <v>141</v>
      </c>
      <c r="D3" s="26"/>
    </row>
    <row r="4" spans="2:4" ht="13.5">
      <c r="B4" s="23"/>
      <c r="C4" s="23"/>
      <c r="D4" s="27" t="s">
        <v>142</v>
      </c>
    </row>
    <row r="5" spans="1:6" ht="13.5">
      <c r="A5" s="28" t="s">
        <v>143</v>
      </c>
      <c r="B5" s="23"/>
      <c r="C5" s="22"/>
      <c r="D5" s="23" t="s">
        <v>144</v>
      </c>
      <c r="E5" s="23" t="s">
        <v>145</v>
      </c>
      <c r="F5" s="41"/>
    </row>
    <row r="6" spans="2:6" ht="13.5">
      <c r="B6" s="29"/>
      <c r="C6" s="29"/>
      <c r="D6" s="30" t="s">
        <v>142</v>
      </c>
      <c r="F6" s="41"/>
    </row>
    <row r="7" spans="2:4" ht="13.5">
      <c r="B7" s="31"/>
      <c r="C7" s="27"/>
      <c r="D7" s="27"/>
    </row>
    <row r="8" ht="13.5">
      <c r="B8" s="23" t="s">
        <v>146</v>
      </c>
    </row>
    <row r="9" spans="2:5" ht="13.5">
      <c r="B9" s="22" t="s">
        <v>147</v>
      </c>
      <c r="D9" s="32">
        <v>2.2</v>
      </c>
      <c r="E9" s="33" t="s">
        <v>148</v>
      </c>
    </row>
    <row r="10" spans="2:5" ht="13.5">
      <c r="B10" s="22" t="s">
        <v>144</v>
      </c>
      <c r="D10" s="32">
        <v>47</v>
      </c>
      <c r="E10" s="22" t="s">
        <v>149</v>
      </c>
    </row>
    <row r="11" spans="2:9" ht="13.5">
      <c r="B11" s="23" t="s">
        <v>150</v>
      </c>
      <c r="C11" s="23" t="s">
        <v>151</v>
      </c>
      <c r="D11" s="42">
        <f>1/(2*PI()*(D9/1000)*D10)</f>
        <v>1.5392160840608833</v>
      </c>
      <c r="E11" s="22" t="s">
        <v>152</v>
      </c>
      <c r="F11" s="22" t="s">
        <v>153</v>
      </c>
      <c r="I11" s="203" t="s">
        <v>154</v>
      </c>
    </row>
    <row r="12" ht="13.5">
      <c r="D12" s="23" t="s">
        <v>155</v>
      </c>
    </row>
    <row r="13" spans="2:3" ht="13.5">
      <c r="B13" s="38" t="s">
        <v>152</v>
      </c>
      <c r="C13" s="38" t="s">
        <v>19</v>
      </c>
    </row>
    <row r="14" spans="2:3" ht="13.5">
      <c r="B14" s="39">
        <v>0.1</v>
      </c>
      <c r="C14" s="40">
        <f>-10*LOG(1+1/(4*PI()^2*B14^2*($D$9*$D$10/1000)^2))</f>
        <v>-23.764284236452227</v>
      </c>
    </row>
    <row r="15" spans="2:3" ht="13.5">
      <c r="B15" s="39">
        <v>0.2</v>
      </c>
      <c r="C15" s="40">
        <f aca="true" t="shared" si="0" ref="C15:C68">-10*LOG(1+1/(4*PI()^2*B15^2*($D$9*$D$10/1000)^2))</f>
        <v>-17.798103671115243</v>
      </c>
    </row>
    <row r="16" spans="2:3" ht="13.5">
      <c r="B16" s="39">
        <v>0.3</v>
      </c>
      <c r="C16" s="40">
        <f t="shared" si="0"/>
        <v>-14.365488954068432</v>
      </c>
    </row>
    <row r="17" spans="2:3" ht="13.5">
      <c r="B17" s="39">
        <v>0.4</v>
      </c>
      <c r="C17" s="40">
        <f t="shared" si="0"/>
        <v>-11.988608128541241</v>
      </c>
    </row>
    <row r="18" spans="2:3" ht="13.5">
      <c r="B18" s="39">
        <v>0.5</v>
      </c>
      <c r="C18" s="40">
        <f t="shared" si="0"/>
        <v>-10.202263574642112</v>
      </c>
    </row>
    <row r="19" spans="2:3" ht="13.5">
      <c r="B19" s="39">
        <v>1</v>
      </c>
      <c r="C19" s="40">
        <f t="shared" si="0"/>
        <v>-5.275250071742686</v>
      </c>
    </row>
    <row r="20" spans="1:3" ht="13.5">
      <c r="A20" s="23"/>
      <c r="B20" s="39">
        <v>2</v>
      </c>
      <c r="C20" s="40">
        <f t="shared" si="0"/>
        <v>-2.020239509517528</v>
      </c>
    </row>
    <row r="21" spans="1:3" ht="13.5">
      <c r="A21" s="23"/>
      <c r="B21" s="39">
        <v>3</v>
      </c>
      <c r="C21" s="40">
        <f t="shared" si="0"/>
        <v>-1.0148686802554394</v>
      </c>
    </row>
    <row r="22" spans="1:3" ht="13.5">
      <c r="A22" s="23"/>
      <c r="B22" s="39">
        <v>4</v>
      </c>
      <c r="C22" s="40">
        <f t="shared" si="0"/>
        <v>-0.5996993266439727</v>
      </c>
    </row>
    <row r="23" spans="1:3" ht="13.5">
      <c r="A23" s="23"/>
      <c r="B23" s="39">
        <v>5</v>
      </c>
      <c r="C23" s="40">
        <f t="shared" si="0"/>
        <v>-0.3932187480572481</v>
      </c>
    </row>
    <row r="24" spans="1:3" ht="13.5">
      <c r="A24" s="23"/>
      <c r="B24" s="39">
        <v>6</v>
      </c>
      <c r="C24" s="40">
        <f t="shared" si="0"/>
        <v>-0.2768008673381287</v>
      </c>
    </row>
    <row r="25" spans="1:3" ht="13.5">
      <c r="A25" s="23"/>
      <c r="B25" s="39">
        <v>7</v>
      </c>
      <c r="C25" s="40">
        <f t="shared" si="0"/>
        <v>-0.20506605184366106</v>
      </c>
    </row>
    <row r="26" spans="1:3" ht="13.5">
      <c r="A26" s="23"/>
      <c r="B26" s="39">
        <v>8</v>
      </c>
      <c r="C26" s="40">
        <f t="shared" si="0"/>
        <v>-0.15786518191216095</v>
      </c>
    </row>
    <row r="27" spans="1:3" ht="13.5">
      <c r="A27" s="23"/>
      <c r="B27" s="39">
        <v>9</v>
      </c>
      <c r="C27" s="40">
        <f t="shared" si="0"/>
        <v>-0.1252054307419729</v>
      </c>
    </row>
    <row r="28" spans="1:3" ht="13.5">
      <c r="A28" s="23"/>
      <c r="B28" s="39">
        <v>10</v>
      </c>
      <c r="C28" s="40">
        <f t="shared" si="0"/>
        <v>-0.10169250610421328</v>
      </c>
    </row>
    <row r="29" spans="1:3" ht="13.5">
      <c r="A29" s="23"/>
      <c r="B29" s="39">
        <v>11</v>
      </c>
      <c r="C29" s="40">
        <f t="shared" si="0"/>
        <v>-0.08421329456671503</v>
      </c>
    </row>
    <row r="30" spans="1:3" ht="13.5">
      <c r="A30" s="23"/>
      <c r="B30" s="39">
        <v>12</v>
      </c>
      <c r="C30" s="40">
        <f t="shared" si="0"/>
        <v>-0.07087165965507664</v>
      </c>
    </row>
    <row r="31" spans="1:3" ht="13.5">
      <c r="A31" s="23"/>
      <c r="B31" s="39">
        <v>13</v>
      </c>
      <c r="C31" s="40">
        <f t="shared" si="0"/>
        <v>-0.06046029621165726</v>
      </c>
    </row>
    <row r="32" spans="1:3" ht="13.5">
      <c r="A32" s="23"/>
      <c r="B32" s="39">
        <v>14</v>
      </c>
      <c r="C32" s="40">
        <f t="shared" si="0"/>
        <v>-0.05218140197312766</v>
      </c>
    </row>
    <row r="33" spans="1:3" ht="13.5">
      <c r="A33" s="23"/>
      <c r="B33" s="39">
        <v>15</v>
      </c>
      <c r="C33" s="40">
        <f t="shared" si="0"/>
        <v>-0.04549089160774831</v>
      </c>
    </row>
    <row r="34" spans="1:3" ht="13.5">
      <c r="A34" s="23"/>
      <c r="B34" s="39">
        <v>16</v>
      </c>
      <c r="C34" s="40">
        <f t="shared" si="0"/>
        <v>-0.040007519001142404</v>
      </c>
    </row>
    <row r="35" spans="1:3" ht="13.5">
      <c r="A35" s="23"/>
      <c r="B35" s="39">
        <v>17</v>
      </c>
      <c r="C35" s="40">
        <f t="shared" si="0"/>
        <v>-0.035457781464357484</v>
      </c>
    </row>
    <row r="36" spans="1:3" ht="13.5">
      <c r="A36" s="23"/>
      <c r="B36" s="39">
        <v>18</v>
      </c>
      <c r="C36" s="40">
        <f t="shared" si="0"/>
        <v>-0.031641382966300986</v>
      </c>
    </row>
    <row r="37" spans="1:3" ht="13.5">
      <c r="A37" s="23"/>
      <c r="B37" s="39">
        <v>19</v>
      </c>
      <c r="C37" s="40">
        <f t="shared" si="0"/>
        <v>-0.028408942889052415</v>
      </c>
    </row>
    <row r="38" spans="1:3" ht="13.5">
      <c r="A38" s="23"/>
      <c r="B38" s="39">
        <v>20</v>
      </c>
      <c r="C38" s="40">
        <f t="shared" si="0"/>
        <v>-0.025647232747488844</v>
      </c>
    </row>
    <row r="39" spans="1:3" ht="13.5">
      <c r="A39" s="23"/>
      <c r="B39" s="39">
        <v>21</v>
      </c>
      <c r="C39" s="40">
        <f t="shared" si="0"/>
        <v>-0.023269171984303984</v>
      </c>
    </row>
    <row r="40" spans="1:3" ht="13.5">
      <c r="A40" s="23"/>
      <c r="B40" s="39">
        <v>22</v>
      </c>
      <c r="C40" s="40">
        <f t="shared" si="0"/>
        <v>-0.021206908303027877</v>
      </c>
    </row>
    <row r="41" spans="1:3" ht="13.5">
      <c r="A41" s="23"/>
      <c r="B41" s="39">
        <v>23</v>
      </c>
      <c r="C41" s="40">
        <f t="shared" si="0"/>
        <v>-0.019406942386600016</v>
      </c>
    </row>
    <row r="42" spans="1:3" ht="13.5">
      <c r="A42" s="23"/>
      <c r="B42" s="39">
        <v>24</v>
      </c>
      <c r="C42" s="40">
        <f t="shared" si="0"/>
        <v>-0.01782663518848026</v>
      </c>
    </row>
    <row r="43" spans="1:3" ht="13.5">
      <c r="A43" s="23"/>
      <c r="B43" s="39">
        <v>25</v>
      </c>
      <c r="C43" s="40">
        <f t="shared" si="0"/>
        <v>-0.016431667464247207</v>
      </c>
    </row>
    <row r="44" spans="1:3" ht="13.5">
      <c r="A44" s="23"/>
      <c r="B44" s="39">
        <v>26</v>
      </c>
      <c r="C44" s="40">
        <f t="shared" si="0"/>
        <v>-0.015194166155993932</v>
      </c>
    </row>
    <row r="45" spans="1:3" ht="13.5">
      <c r="A45" s="23"/>
      <c r="B45" s="39">
        <v>27</v>
      </c>
      <c r="C45" s="40">
        <f t="shared" si="0"/>
        <v>-0.014091304931345859</v>
      </c>
    </row>
    <row r="46" spans="1:3" ht="13.5">
      <c r="A46" s="23"/>
      <c r="B46" s="39">
        <v>28</v>
      </c>
      <c r="C46" s="40">
        <f t="shared" si="0"/>
        <v>-0.013104246603433466</v>
      </c>
    </row>
    <row r="47" spans="1:3" ht="13.5">
      <c r="A47" s="23"/>
      <c r="B47" s="39">
        <v>29</v>
      </c>
      <c r="C47" s="40">
        <f t="shared" si="0"/>
        <v>-0.012217335249928591</v>
      </c>
    </row>
    <row r="48" spans="2:3" ht="13.5">
      <c r="B48" s="39">
        <v>30</v>
      </c>
      <c r="C48" s="40">
        <f t="shared" si="0"/>
        <v>-0.011417472885776271</v>
      </c>
    </row>
    <row r="49" spans="2:3" ht="13.5">
      <c r="B49" s="39">
        <v>31</v>
      </c>
      <c r="C49" s="40">
        <f t="shared" si="0"/>
        <v>-0.01069363405211321</v>
      </c>
    </row>
    <row r="50" spans="2:3" ht="13.5">
      <c r="B50" s="39">
        <v>32</v>
      </c>
      <c r="C50" s="40">
        <f t="shared" si="0"/>
        <v>-0.010036484530816323</v>
      </c>
    </row>
    <row r="51" spans="2:3" ht="13.5">
      <c r="B51" s="39">
        <v>33</v>
      </c>
      <c r="C51" s="40">
        <f t="shared" si="0"/>
        <v>-0.009438079427288519</v>
      </c>
    </row>
    <row r="52" spans="2:3" ht="13.5">
      <c r="B52" s="39">
        <v>34</v>
      </c>
      <c r="C52" s="40">
        <f t="shared" si="0"/>
        <v>-0.008891622292652578</v>
      </c>
    </row>
    <row r="53" spans="2:3" ht="13.5">
      <c r="B53" s="39">
        <v>35</v>
      </c>
      <c r="C53" s="40">
        <f t="shared" si="0"/>
        <v>-0.008391271582998704</v>
      </c>
    </row>
    <row r="54" spans="2:3" ht="13.5">
      <c r="B54" s="39">
        <v>36</v>
      </c>
      <c r="C54" s="40">
        <f t="shared" si="0"/>
        <v>-0.007931984118136049</v>
      </c>
    </row>
    <row r="55" spans="2:3" ht="13.5">
      <c r="B55" s="39">
        <v>37</v>
      </c>
      <c r="C55" s="40">
        <f t="shared" si="0"/>
        <v>-0.007509387673685721</v>
      </c>
    </row>
    <row r="56" spans="2:3" ht="13.5">
      <c r="B56" s="39">
        <v>38</v>
      </c>
      <c r="C56" s="40">
        <f t="shared" si="0"/>
        <v>-0.007119676672476043</v>
      </c>
    </row>
    <row r="57" spans="2:3" ht="13.5">
      <c r="B57" s="39">
        <v>39</v>
      </c>
      <c r="C57" s="40">
        <f t="shared" si="0"/>
        <v>-0.006759526311269793</v>
      </c>
    </row>
    <row r="58" spans="2:3" ht="13.5">
      <c r="B58" s="39">
        <v>40</v>
      </c>
      <c r="C58" s="40">
        <f t="shared" si="0"/>
        <v>-0.00642602149189485</v>
      </c>
    </row>
    <row r="59" spans="2:3" ht="13.5">
      <c r="B59" s="39">
        <v>41</v>
      </c>
      <c r="C59" s="40">
        <f t="shared" si="0"/>
        <v>-0.006116597710808793</v>
      </c>
    </row>
    <row r="60" spans="2:3" ht="13.5">
      <c r="B60" s="39">
        <v>42</v>
      </c>
      <c r="C60" s="40">
        <f t="shared" si="0"/>
        <v>-0.005828991662028805</v>
      </c>
    </row>
    <row r="61" spans="2:3" ht="13.5">
      <c r="B61" s="39">
        <v>43</v>
      </c>
      <c r="C61" s="40">
        <f t="shared" si="0"/>
        <v>-0.005561199771538721</v>
      </c>
    </row>
    <row r="62" spans="2:3" ht="13.5">
      <c r="B62" s="39">
        <v>44</v>
      </c>
      <c r="C62" s="40">
        <f t="shared" si="0"/>
        <v>-0.005311443240693549</v>
      </c>
    </row>
    <row r="63" spans="2:3" ht="13.5">
      <c r="B63" s="39">
        <v>45</v>
      </c>
      <c r="C63" s="40">
        <f t="shared" si="0"/>
        <v>-0.0050781384568006</v>
      </c>
    </row>
    <row r="64" spans="2:3" ht="13.5">
      <c r="B64" s="39">
        <v>46</v>
      </c>
      <c r="C64" s="40">
        <f t="shared" si="0"/>
        <v>-0.00485987184949151</v>
      </c>
    </row>
    <row r="65" spans="2:3" ht="13.5">
      <c r="B65" s="39">
        <v>47</v>
      </c>
      <c r="C65" s="40">
        <f t="shared" si="0"/>
        <v>-0.004655378445693463</v>
      </c>
    </row>
    <row r="66" spans="2:3" ht="13.5">
      <c r="B66" s="39">
        <v>48</v>
      </c>
      <c r="C66" s="40">
        <f t="shared" si="0"/>
        <v>-0.0044635235143348434</v>
      </c>
    </row>
    <row r="67" spans="2:3" ht="13.5">
      <c r="B67" s="39">
        <v>49</v>
      </c>
      <c r="C67" s="40">
        <f t="shared" si="0"/>
        <v>-0.004283286802382617</v>
      </c>
    </row>
    <row r="68" spans="2:3" ht="13.5">
      <c r="B68" s="39">
        <v>50</v>
      </c>
      <c r="C68" s="40">
        <f t="shared" si="0"/>
        <v>-0.00411374895246652</v>
      </c>
    </row>
  </sheetData>
  <sheetProtection/>
  <printOptions/>
  <pageMargins left="0.75" right="0.75" top="1" bottom="1" header="0.512" footer="0.512"/>
  <pageSetup horizontalDpi="180" verticalDpi="18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22">
      <selection activeCell="P24" sqref="P24"/>
    </sheetView>
  </sheetViews>
  <sheetFormatPr defaultColWidth="9.140625" defaultRowHeight="15"/>
  <cols>
    <col min="1" max="1" width="9.140625" style="21" customWidth="1"/>
    <col min="2" max="2" width="12.00390625" style="21" customWidth="1"/>
    <col min="3" max="3" width="9.140625" style="21" customWidth="1"/>
    <col min="4" max="4" width="10.140625" style="21" bestFit="1" customWidth="1"/>
    <col min="5" max="16384" width="9.140625" style="21" customWidth="1"/>
  </cols>
  <sheetData>
    <row r="1" ht="13.5">
      <c r="A1" s="22" t="s">
        <v>140</v>
      </c>
    </row>
    <row r="2" ht="13.5">
      <c r="B2" s="23"/>
    </row>
    <row r="3" spans="2:6" ht="13.5">
      <c r="B3" s="24"/>
      <c r="C3" s="25" t="s">
        <v>144</v>
      </c>
      <c r="D3" s="26"/>
      <c r="F3" s="23"/>
    </row>
    <row r="4" spans="2:6" ht="13.5">
      <c r="B4" s="23"/>
      <c r="C4" s="23"/>
      <c r="D4" s="27" t="s">
        <v>142</v>
      </c>
      <c r="F4" s="23"/>
    </row>
    <row r="5" spans="1:5" ht="13.5">
      <c r="A5" s="28" t="s">
        <v>143</v>
      </c>
      <c r="B5" s="23"/>
      <c r="C5" s="22"/>
      <c r="D5" s="23" t="s">
        <v>141</v>
      </c>
      <c r="E5" s="23" t="s">
        <v>145</v>
      </c>
    </row>
    <row r="6" spans="2:4" ht="13.5">
      <c r="B6" s="29"/>
      <c r="C6" s="29"/>
      <c r="D6" s="30" t="s">
        <v>142</v>
      </c>
    </row>
    <row r="7" spans="2:6" ht="13.5">
      <c r="B7" s="31"/>
      <c r="C7" s="27"/>
      <c r="D7" s="27"/>
      <c r="F7" s="23"/>
    </row>
    <row r="8" spans="2:8" ht="13.5">
      <c r="B8" s="23" t="s">
        <v>146</v>
      </c>
      <c r="F8" s="23"/>
      <c r="H8" s="23"/>
    </row>
    <row r="9" spans="2:9" ht="13.5">
      <c r="B9" s="22" t="s">
        <v>147</v>
      </c>
      <c r="D9" s="32">
        <v>1.47</v>
      </c>
      <c r="E9" s="33" t="s">
        <v>148</v>
      </c>
      <c r="F9" s="34">
        <f>10^3*D9</f>
        <v>1470</v>
      </c>
      <c r="G9" s="35" t="s">
        <v>156</v>
      </c>
      <c r="H9" s="34">
        <f>10^6*D9</f>
        <v>1470000</v>
      </c>
      <c r="I9" s="35" t="s">
        <v>157</v>
      </c>
    </row>
    <row r="10" spans="2:7" ht="13.5">
      <c r="B10" s="22" t="s">
        <v>144</v>
      </c>
      <c r="D10" s="32">
        <v>0.01</v>
      </c>
      <c r="E10" s="33" t="s">
        <v>158</v>
      </c>
      <c r="F10" s="34">
        <f>10^3*D10</f>
        <v>10</v>
      </c>
      <c r="G10" s="33" t="s">
        <v>159</v>
      </c>
    </row>
    <row r="11" spans="2:9" ht="13.5">
      <c r="B11" s="23" t="s">
        <v>160</v>
      </c>
      <c r="C11" s="23" t="s">
        <v>151</v>
      </c>
      <c r="D11" s="36">
        <f>1/(2*PI()*(D9/10^3)*D10)</f>
        <v>10826.866876999684</v>
      </c>
      <c r="E11" s="22" t="s">
        <v>161</v>
      </c>
      <c r="F11" s="37" t="s">
        <v>162</v>
      </c>
      <c r="I11" s="203" t="s">
        <v>163</v>
      </c>
    </row>
    <row r="12" ht="13.5">
      <c r="D12" s="23" t="s">
        <v>155</v>
      </c>
    </row>
    <row r="13" spans="2:3" ht="13.5">
      <c r="B13" s="38" t="s">
        <v>152</v>
      </c>
      <c r="C13" s="38" t="s">
        <v>19</v>
      </c>
    </row>
    <row r="14" spans="2:3" ht="13.5">
      <c r="B14" s="39">
        <v>20</v>
      </c>
      <c r="C14" s="40">
        <f>-10*LOG(1+4*PI()^2*B14^2*($D$9*$D$10/1000)^2)</f>
        <v>-1.4819650714913007E-05</v>
      </c>
    </row>
    <row r="15" spans="2:3" ht="13.5">
      <c r="B15" s="39">
        <v>25</v>
      </c>
      <c r="C15" s="40">
        <f aca="true" t="shared" si="0" ref="C15:C53">-10*LOG(1+4*PI()^2*B15^2*($D$9*$D$10/1000)^2)</f>
        <v>-2.3155682019510936E-05</v>
      </c>
    </row>
    <row r="16" spans="2:3" ht="13.5">
      <c r="B16" s="39">
        <v>31.5</v>
      </c>
      <c r="C16" s="40">
        <f t="shared" si="0"/>
        <v>-3.676190318665718E-05</v>
      </c>
    </row>
    <row r="17" spans="2:3" ht="13.5">
      <c r="B17" s="39">
        <v>40</v>
      </c>
      <c r="C17" s="40">
        <f t="shared" si="0"/>
        <v>-5.927829944299653E-05</v>
      </c>
    </row>
    <row r="18" spans="2:3" ht="13.5">
      <c r="B18" s="39">
        <v>50</v>
      </c>
      <c r="C18" s="40">
        <f t="shared" si="0"/>
        <v>-9.262198731849979E-05</v>
      </c>
    </row>
    <row r="19" spans="2:3" ht="13.5">
      <c r="B19" s="39">
        <v>63</v>
      </c>
      <c r="C19" s="40">
        <f t="shared" si="0"/>
        <v>-0.00014704574570452824</v>
      </c>
    </row>
    <row r="20" spans="1:3" ht="13.5">
      <c r="A20" s="23"/>
      <c r="B20" s="39">
        <v>80</v>
      </c>
      <c r="C20" s="40">
        <f t="shared" si="0"/>
        <v>-0.00023710834327307832</v>
      </c>
    </row>
    <row r="21" spans="1:3" ht="13.5">
      <c r="A21" s="23"/>
      <c r="B21" s="39">
        <v>100</v>
      </c>
      <c r="C21" s="40">
        <f t="shared" si="0"/>
        <v>-0.00037047609776668766</v>
      </c>
    </row>
    <row r="22" spans="1:3" ht="13.5">
      <c r="A22" s="23"/>
      <c r="B22" s="39">
        <v>125</v>
      </c>
      <c r="C22" s="40">
        <f t="shared" si="0"/>
        <v>-0.0005788550153145377</v>
      </c>
    </row>
    <row r="23" spans="1:3" ht="13.5">
      <c r="A23" s="23"/>
      <c r="B23" s="39">
        <v>160</v>
      </c>
      <c r="C23" s="40">
        <f t="shared" si="0"/>
        <v>-0.0009483557116769892</v>
      </c>
    </row>
    <row r="24" spans="1:3" ht="13.5">
      <c r="A24" s="23"/>
      <c r="B24" s="39">
        <v>200</v>
      </c>
      <c r="C24" s="40">
        <f t="shared" si="0"/>
        <v>-0.0014817148074134086</v>
      </c>
    </row>
    <row r="25" spans="1:3" ht="13.5">
      <c r="A25" s="23"/>
      <c r="B25" s="39">
        <v>250</v>
      </c>
      <c r="C25" s="40">
        <f t="shared" si="0"/>
        <v>-0.0023149572845432465</v>
      </c>
    </row>
    <row r="26" spans="1:3" ht="13.5">
      <c r="A26" s="23"/>
      <c r="B26" s="39">
        <v>315</v>
      </c>
      <c r="C26" s="40">
        <f t="shared" si="0"/>
        <v>-0.003674650842091452</v>
      </c>
    </row>
    <row r="27" spans="1:3" ht="13.5">
      <c r="A27" s="23"/>
      <c r="B27" s="39">
        <v>400</v>
      </c>
      <c r="C27" s="40">
        <f t="shared" si="0"/>
        <v>-0.005923828476137469</v>
      </c>
    </row>
    <row r="28" spans="1:3" ht="13.5">
      <c r="A28" s="23"/>
      <c r="B28" s="39">
        <v>500</v>
      </c>
      <c r="C28" s="40">
        <f t="shared" si="0"/>
        <v>-0.009252434564156873</v>
      </c>
    </row>
    <row r="29" spans="1:3" ht="13.5">
      <c r="A29" s="23"/>
      <c r="B29" s="39">
        <v>630</v>
      </c>
      <c r="C29" s="40">
        <f t="shared" si="0"/>
        <v>-0.014679984952656981</v>
      </c>
    </row>
    <row r="30" spans="1:3" ht="13.5">
      <c r="A30" s="23"/>
      <c r="B30" s="39">
        <v>800</v>
      </c>
      <c r="C30" s="40">
        <f t="shared" si="0"/>
        <v>-0.023646986622513327</v>
      </c>
    </row>
    <row r="31" spans="1:3" ht="13.5">
      <c r="A31" s="23"/>
      <c r="B31" s="39">
        <v>1000</v>
      </c>
      <c r="C31" s="40">
        <f t="shared" si="0"/>
        <v>-0.03689205174808244</v>
      </c>
    </row>
    <row r="32" spans="1:3" ht="13.5">
      <c r="A32" s="23"/>
      <c r="B32" s="39">
        <v>1250</v>
      </c>
      <c r="C32" s="40">
        <f t="shared" si="0"/>
        <v>-0.05750693536117409</v>
      </c>
    </row>
    <row r="33" spans="1:3" ht="13.5">
      <c r="A33" s="23"/>
      <c r="B33" s="39">
        <v>1600</v>
      </c>
      <c r="C33" s="40">
        <f t="shared" si="0"/>
        <v>-0.09382508847224207</v>
      </c>
    </row>
    <row r="34" spans="1:3" ht="13.5">
      <c r="A34" s="23"/>
      <c r="B34" s="39">
        <v>2000</v>
      </c>
      <c r="C34" s="40">
        <f t="shared" si="0"/>
        <v>-0.14572434704778403</v>
      </c>
    </row>
    <row r="35" spans="1:3" ht="13.5">
      <c r="A35" s="23"/>
      <c r="B35" s="39">
        <v>2500</v>
      </c>
      <c r="C35" s="40">
        <f t="shared" si="0"/>
        <v>-0.22559534861146996</v>
      </c>
    </row>
    <row r="36" spans="1:3" ht="13.5">
      <c r="A36" s="23"/>
      <c r="B36" s="39">
        <v>3150</v>
      </c>
      <c r="C36" s="40">
        <f t="shared" si="0"/>
        <v>-0.3528872710621004</v>
      </c>
    </row>
    <row r="37" spans="1:3" ht="13.5">
      <c r="A37" s="23"/>
      <c r="B37" s="39">
        <v>4000</v>
      </c>
      <c r="C37" s="40">
        <f t="shared" si="0"/>
        <v>-0.5556724667228651</v>
      </c>
    </row>
    <row r="38" spans="1:3" ht="13.5">
      <c r="A38" s="23"/>
      <c r="B38" s="39">
        <v>5000</v>
      </c>
      <c r="C38" s="40">
        <f t="shared" si="0"/>
        <v>-0.8395827579198505</v>
      </c>
    </row>
    <row r="39" spans="1:3" ht="13.5">
      <c r="A39" s="23"/>
      <c r="B39" s="39">
        <v>6300</v>
      </c>
      <c r="C39" s="40">
        <f t="shared" si="0"/>
        <v>-1.2664792474951256</v>
      </c>
    </row>
    <row r="40" spans="1:3" ht="13.5">
      <c r="A40" s="23"/>
      <c r="B40" s="39">
        <v>8000</v>
      </c>
      <c r="C40" s="40">
        <f t="shared" si="0"/>
        <v>-1.8920303990966354</v>
      </c>
    </row>
    <row r="41" spans="1:3" ht="13.5">
      <c r="A41" s="23"/>
      <c r="B41" s="39">
        <v>10000</v>
      </c>
      <c r="C41" s="40">
        <f t="shared" si="0"/>
        <v>-2.678963076106467</v>
      </c>
    </row>
    <row r="42" spans="1:3" ht="13.5">
      <c r="A42" s="23"/>
      <c r="B42" s="39">
        <v>12500</v>
      </c>
      <c r="C42" s="40">
        <f t="shared" si="0"/>
        <v>-3.6790575857715413</v>
      </c>
    </row>
    <row r="43" spans="1:3" ht="13.5">
      <c r="A43" s="23"/>
      <c r="B43" s="39">
        <v>16000</v>
      </c>
      <c r="C43" s="40">
        <f t="shared" si="0"/>
        <v>-5.029605323524802</v>
      </c>
    </row>
    <row r="44" spans="1:3" ht="13.5">
      <c r="A44" s="23"/>
      <c r="B44" s="39">
        <v>20000</v>
      </c>
      <c r="C44" s="40">
        <f t="shared" si="0"/>
        <v>-6.4467059476698285</v>
      </c>
    </row>
    <row r="45" spans="2:3" ht="13.5">
      <c r="B45" s="39">
        <v>25000</v>
      </c>
      <c r="C45" s="40">
        <f t="shared" si="0"/>
        <v>-8.015276712263567</v>
      </c>
    </row>
    <row r="46" spans="2:3" ht="13.5">
      <c r="B46" s="39">
        <v>31500</v>
      </c>
      <c r="C46" s="40">
        <f t="shared" si="0"/>
        <v>-9.76110379238629</v>
      </c>
    </row>
    <row r="47" spans="2:3" ht="13.5">
      <c r="B47" s="39">
        <v>40000</v>
      </c>
      <c r="C47" s="40">
        <f t="shared" si="0"/>
        <v>-11.658206087938769</v>
      </c>
    </row>
    <row r="48" spans="2:3" ht="13.5">
      <c r="B48" s="39">
        <v>50000</v>
      </c>
      <c r="C48" s="40">
        <f t="shared" si="0"/>
        <v>-13.488348102302384</v>
      </c>
    </row>
    <row r="49" spans="2:3" ht="13.5">
      <c r="B49" s="39">
        <v>63000</v>
      </c>
      <c r="C49" s="40">
        <f t="shared" si="0"/>
        <v>-15.423162625430567</v>
      </c>
    </row>
    <row r="50" spans="2:3" ht="13.5">
      <c r="B50" s="39">
        <v>80000</v>
      </c>
      <c r="C50" s="40">
        <f t="shared" si="0"/>
        <v>-17.450568575429507</v>
      </c>
    </row>
    <row r="51" spans="2:3" ht="13.5">
      <c r="B51" s="39">
        <v>100000</v>
      </c>
      <c r="C51" s="40">
        <f t="shared" si="0"/>
        <v>-19.36055645004739</v>
      </c>
    </row>
    <row r="52" spans="2:3" ht="13.5">
      <c r="B52" s="39">
        <v>500000</v>
      </c>
      <c r="C52" s="40">
        <f t="shared" si="0"/>
        <v>-33.291380009736095</v>
      </c>
    </row>
    <row r="53" spans="2:3" ht="13.5">
      <c r="B53" s="39">
        <v>1000000</v>
      </c>
      <c r="C53" s="40">
        <f t="shared" si="0"/>
        <v>-39.310453116826466</v>
      </c>
    </row>
  </sheetData>
  <sheetProtection/>
  <printOptions/>
  <pageMargins left="0.75" right="0.75" top="1" bottom="1" header="0.512" footer="0.512"/>
  <pageSetup horizontalDpi="180" verticalDpi="18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0">
      <selection activeCell="P31" sqref="P31"/>
    </sheetView>
  </sheetViews>
  <sheetFormatPr defaultColWidth="8.8515625" defaultRowHeight="15"/>
  <cols>
    <col min="1" max="1" width="3.57421875" style="0" customWidth="1"/>
    <col min="2" max="2" width="13.421875" style="0" customWidth="1"/>
    <col min="3" max="3" width="16.57421875" style="0" customWidth="1"/>
    <col min="4" max="4" width="19.8515625" style="0" customWidth="1"/>
    <col min="5" max="5" width="11.140625" style="0" customWidth="1"/>
    <col min="6" max="6" width="8.57421875" style="0" customWidth="1"/>
    <col min="7" max="7" width="6.57421875" style="0" customWidth="1"/>
    <col min="8" max="8" width="5.00390625" style="0" customWidth="1"/>
    <col min="9" max="9" width="7.28125" style="0" customWidth="1"/>
    <col min="10" max="10" width="4.28125" style="0" customWidth="1"/>
    <col min="11" max="11" width="6.00390625" style="0" customWidth="1"/>
    <col min="12" max="12" width="4.421875" style="0" customWidth="1"/>
    <col min="13" max="13" width="5.140625" style="0" customWidth="1"/>
    <col min="14" max="14" width="4.00390625" style="0" customWidth="1"/>
  </cols>
  <sheetData>
    <row r="1" ht="13.5">
      <c r="A1" s="1" t="s">
        <v>164</v>
      </c>
    </row>
    <row r="2" spans="1:8" ht="13.5">
      <c r="A2" s="1"/>
      <c r="B2" s="2" t="s">
        <v>165</v>
      </c>
      <c r="H2" s="3" t="s">
        <v>166</v>
      </c>
    </row>
    <row r="3" spans="2:10" ht="13.5">
      <c r="B3" s="3" t="s">
        <v>167</v>
      </c>
      <c r="C3" s="3" t="s">
        <v>168</v>
      </c>
      <c r="E3" s="3" t="s">
        <v>169</v>
      </c>
      <c r="F3" s="4">
        <f>F4*2^((F5-F6)/10)</f>
        <v>22627.416997969518</v>
      </c>
      <c r="I3" s="13">
        <f>F3/(365*3)</f>
        <v>20.664307760702755</v>
      </c>
      <c r="J3" t="s">
        <v>170</v>
      </c>
    </row>
    <row r="4" spans="2:6" ht="13.5">
      <c r="B4" s="3" t="s">
        <v>171</v>
      </c>
      <c r="C4" s="3" t="s">
        <v>172</v>
      </c>
      <c r="E4" s="3" t="s">
        <v>169</v>
      </c>
      <c r="F4" s="5">
        <v>2000</v>
      </c>
    </row>
    <row r="5" spans="2:6" ht="13.5">
      <c r="B5" s="3" t="s">
        <v>173</v>
      </c>
      <c r="C5" s="3" t="s">
        <v>174</v>
      </c>
      <c r="E5" s="3" t="s">
        <v>175</v>
      </c>
      <c r="F5" s="5">
        <v>85</v>
      </c>
    </row>
    <row r="6" spans="2:6" ht="13.5">
      <c r="B6" s="3" t="s">
        <v>176</v>
      </c>
      <c r="C6" s="3" t="s">
        <v>177</v>
      </c>
      <c r="E6" s="3" t="s">
        <v>175</v>
      </c>
      <c r="F6" s="5">
        <v>50</v>
      </c>
    </row>
    <row r="7" ht="13.5">
      <c r="F7" s="6"/>
    </row>
    <row r="8" spans="1:6" ht="13.5">
      <c r="A8" s="1" t="s">
        <v>178</v>
      </c>
      <c r="F8" s="6"/>
    </row>
    <row r="9" spans="1:3" ht="13.5">
      <c r="A9" s="1"/>
      <c r="B9" s="1" t="s">
        <v>179</v>
      </c>
      <c r="C9" s="1" t="s">
        <v>180</v>
      </c>
    </row>
    <row r="10" spans="2:6" ht="13.5">
      <c r="B10" s="3" t="s">
        <v>181</v>
      </c>
      <c r="C10" s="3" t="s">
        <v>182</v>
      </c>
      <c r="E10" s="3" t="s">
        <v>175</v>
      </c>
      <c r="F10" s="7">
        <f>F11^2*F12/(F13*F14)</f>
        <v>10.150187697187203</v>
      </c>
    </row>
    <row r="11" spans="2:8" ht="13.5">
      <c r="B11" t="s">
        <v>183</v>
      </c>
      <c r="C11" s="3" t="s">
        <v>184</v>
      </c>
      <c r="E11" t="s">
        <v>185</v>
      </c>
      <c r="F11" s="5">
        <v>5</v>
      </c>
      <c r="H11" s="3" t="s">
        <v>186</v>
      </c>
    </row>
    <row r="12" spans="2:9" ht="13.5">
      <c r="B12" t="s">
        <v>187</v>
      </c>
      <c r="C12" s="3" t="s">
        <v>188</v>
      </c>
      <c r="E12" s="3" t="s">
        <v>159</v>
      </c>
      <c r="F12" s="5">
        <v>2</v>
      </c>
      <c r="H12" s="3" t="s">
        <v>189</v>
      </c>
      <c r="I12" s="11">
        <f>2*PI()*I14*I13+2*PI()*I14^2</f>
        <v>49.260172808287955</v>
      </c>
    </row>
    <row r="13" spans="2:9" ht="13.5">
      <c r="B13" t="s">
        <v>11</v>
      </c>
      <c r="C13" s="3" t="s">
        <v>186</v>
      </c>
      <c r="E13" s="3" t="s">
        <v>190</v>
      </c>
      <c r="F13" s="8">
        <f>I12</f>
        <v>49.260172808287955</v>
      </c>
      <c r="H13" s="3" t="s">
        <v>191</v>
      </c>
      <c r="I13" s="5">
        <v>3.3</v>
      </c>
    </row>
    <row r="14" spans="2:9" ht="13.5">
      <c r="B14" s="3" t="s">
        <v>192</v>
      </c>
      <c r="C14" s="3" t="s">
        <v>193</v>
      </c>
      <c r="E14" s="3" t="s">
        <v>194</v>
      </c>
      <c r="F14" s="5">
        <v>0.1</v>
      </c>
      <c r="H14" s="3" t="s">
        <v>195</v>
      </c>
      <c r="I14" s="5">
        <v>1.6</v>
      </c>
    </row>
    <row r="15" spans="6:7" ht="13.5">
      <c r="F15" s="9"/>
      <c r="G15" s="9"/>
    </row>
    <row r="16" spans="2:14" ht="13.5">
      <c r="B16" s="1" t="s">
        <v>196</v>
      </c>
      <c r="C16" s="1" t="s">
        <v>197</v>
      </c>
      <c r="H16" s="10" t="s">
        <v>198</v>
      </c>
      <c r="I16" s="14"/>
      <c r="J16" s="14"/>
      <c r="K16" s="14"/>
      <c r="L16" s="14"/>
      <c r="M16" s="14"/>
      <c r="N16" s="15"/>
    </row>
    <row r="17" spans="2:14" ht="13.5">
      <c r="B17" s="3" t="s">
        <v>199</v>
      </c>
      <c r="C17" s="3" t="s">
        <v>200</v>
      </c>
      <c r="E17" s="3" t="s">
        <v>175</v>
      </c>
      <c r="F17" s="11">
        <f>F18*F19</f>
        <v>19.68</v>
      </c>
      <c r="G17" s="11">
        <f>F20*(F22/F23)^2</f>
        <v>20</v>
      </c>
      <c r="H17" s="10" t="s">
        <v>201</v>
      </c>
      <c r="I17" s="15"/>
      <c r="J17" s="16" t="s">
        <v>202</v>
      </c>
      <c r="K17" s="16" t="s">
        <v>203</v>
      </c>
      <c r="L17" s="16" t="s">
        <v>204</v>
      </c>
      <c r="M17" s="16" t="s">
        <v>205</v>
      </c>
      <c r="N17" s="16" t="s">
        <v>206</v>
      </c>
    </row>
    <row r="18" spans="2:14" ht="13.5">
      <c r="B18" s="3" t="s">
        <v>207</v>
      </c>
      <c r="C18" s="3" t="s">
        <v>208</v>
      </c>
      <c r="E18" s="3"/>
      <c r="F18" s="5">
        <v>1.64</v>
      </c>
      <c r="G18" s="9"/>
      <c r="H18" s="12" t="s">
        <v>209</v>
      </c>
      <c r="I18" s="15"/>
      <c r="J18" s="16">
        <v>1.3</v>
      </c>
      <c r="K18" s="16">
        <v>1.3</v>
      </c>
      <c r="L18" s="16">
        <v>1.4</v>
      </c>
      <c r="M18" s="16">
        <v>1.5</v>
      </c>
      <c r="N18" s="16">
        <v>1.64</v>
      </c>
    </row>
    <row r="19" spans="2:7" ht="13.5">
      <c r="B19" s="3" t="s">
        <v>181</v>
      </c>
      <c r="C19" s="3" t="s">
        <v>210</v>
      </c>
      <c r="E19" s="3" t="s">
        <v>175</v>
      </c>
      <c r="F19" s="5">
        <v>12</v>
      </c>
      <c r="G19" s="9"/>
    </row>
    <row r="20" spans="2:7" ht="13.5">
      <c r="B20" s="3" t="s">
        <v>211</v>
      </c>
      <c r="C20" s="3" t="s">
        <v>212</v>
      </c>
      <c r="E20" s="3" t="s">
        <v>175</v>
      </c>
      <c r="F20" s="5">
        <v>20</v>
      </c>
      <c r="G20" s="6"/>
    </row>
    <row r="21" spans="2:7" ht="13.5">
      <c r="B21" t="s">
        <v>183</v>
      </c>
      <c r="C21" s="3" t="s">
        <v>213</v>
      </c>
      <c r="E21" s="9"/>
      <c r="F21" s="9"/>
      <c r="G21" s="9"/>
    </row>
    <row r="22" spans="3:6" ht="13.5">
      <c r="C22" s="3" t="s">
        <v>214</v>
      </c>
      <c r="E22" t="s">
        <v>185</v>
      </c>
      <c r="F22" s="5">
        <v>5</v>
      </c>
    </row>
    <row r="23" spans="2:6" ht="13.5">
      <c r="B23" t="s">
        <v>215</v>
      </c>
      <c r="C23" s="3" t="s">
        <v>216</v>
      </c>
      <c r="E23" t="s">
        <v>185</v>
      </c>
      <c r="F23" s="5">
        <v>5</v>
      </c>
    </row>
    <row r="24" spans="2:12" ht="13.5">
      <c r="B24" s="3"/>
      <c r="C24" s="3"/>
      <c r="E24" s="3"/>
      <c r="L24" s="17"/>
    </row>
    <row r="25" spans="2:10" ht="13.5">
      <c r="B25" s="1" t="s">
        <v>217</v>
      </c>
      <c r="D25" s="2" t="s">
        <v>218</v>
      </c>
      <c r="J25" s="3" t="s">
        <v>166</v>
      </c>
    </row>
    <row r="26" spans="2:12" ht="13.5">
      <c r="B26" s="3" t="s">
        <v>219</v>
      </c>
      <c r="C26" s="3" t="s">
        <v>220</v>
      </c>
      <c r="D26" t="s">
        <v>221</v>
      </c>
      <c r="E26" t="s">
        <v>169</v>
      </c>
      <c r="I26" s="18">
        <f>I27*2^(((I28-I29)/10)*2^(I33/I32-I30/I31))</f>
        <v>22627.416997969518</v>
      </c>
      <c r="J26" t="s">
        <v>169</v>
      </c>
      <c r="K26" s="19">
        <f>I26/(365*3)</f>
        <v>20.664307760702755</v>
      </c>
      <c r="L26" t="s">
        <v>170</v>
      </c>
    </row>
    <row r="27" spans="2:9" ht="13.5">
      <c r="B27" s="3" t="s">
        <v>222</v>
      </c>
      <c r="C27" s="3" t="s">
        <v>172</v>
      </c>
      <c r="E27" t="s">
        <v>169</v>
      </c>
      <c r="I27" s="20">
        <v>2000</v>
      </c>
    </row>
    <row r="28" spans="2:9" ht="13.5">
      <c r="B28" s="3" t="s">
        <v>223</v>
      </c>
      <c r="C28" s="3" t="s">
        <v>224</v>
      </c>
      <c r="E28" s="3" t="s">
        <v>175</v>
      </c>
      <c r="G28" s="3"/>
      <c r="I28" s="20">
        <v>85</v>
      </c>
    </row>
    <row r="29" spans="2:9" ht="13.5">
      <c r="B29" s="3" t="s">
        <v>176</v>
      </c>
      <c r="C29" s="3" t="s">
        <v>177</v>
      </c>
      <c r="E29" s="3" t="s">
        <v>175</v>
      </c>
      <c r="I29" s="20">
        <v>50</v>
      </c>
    </row>
    <row r="30" spans="2:9" ht="13.5">
      <c r="B30" s="3" t="s">
        <v>199</v>
      </c>
      <c r="C30" s="3" t="s">
        <v>200</v>
      </c>
      <c r="E30" s="3" t="s">
        <v>175</v>
      </c>
      <c r="I30" s="20">
        <v>20</v>
      </c>
    </row>
    <row r="31" spans="2:9" ht="13.5">
      <c r="B31" s="3" t="s">
        <v>185</v>
      </c>
      <c r="C31" s="3" t="s">
        <v>225</v>
      </c>
      <c r="E31" s="3" t="s">
        <v>226</v>
      </c>
      <c r="I31" s="20">
        <f>10-0.25*I30</f>
        <v>5</v>
      </c>
    </row>
    <row r="32" spans="2:9" ht="13.5">
      <c r="B32" s="3" t="s">
        <v>227</v>
      </c>
      <c r="C32" s="3" t="s">
        <v>228</v>
      </c>
      <c r="I32" s="20">
        <f>10-0.25*I33</f>
        <v>5</v>
      </c>
    </row>
    <row r="33" spans="2:9" ht="13.5">
      <c r="B33" s="3" t="s">
        <v>211</v>
      </c>
      <c r="C33" s="3" t="s">
        <v>212</v>
      </c>
      <c r="E33" s="3" t="s">
        <v>175</v>
      </c>
      <c r="I33" s="20">
        <v>20</v>
      </c>
    </row>
  </sheetData>
  <sheetProtection/>
  <mergeCells count="1">
    <mergeCell ref="H18:I18"/>
  </mergeCells>
  <printOptions/>
  <pageMargins left="0.75" right="0.75" top="1" bottom="1" header="0.512" footer="0.512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</cp:lastModifiedBy>
  <dcterms:created xsi:type="dcterms:W3CDTF">2003-12-08T07:03:14Z</dcterms:created>
  <dcterms:modified xsi:type="dcterms:W3CDTF">2024-03-27T13:42:38Z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1041-11.8.2.10334</vt:lpwstr>
  </property>
</Properties>
</file>