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30" windowWidth="15360" windowHeight="9255" activeTab="0"/>
  </bookViews>
  <sheets>
    <sheet name="stevenson" sheetId="1" r:id="rId1"/>
  </sheets>
  <definedNames/>
  <calcPr fullCalcOnLoad="1"/>
</workbook>
</file>

<file path=xl/sharedStrings.xml><?xml version="1.0" encoding="utf-8"?>
<sst xmlns="http://schemas.openxmlformats.org/spreadsheetml/2006/main" count="209" uniqueCount="143">
  <si>
    <t>x3</t>
  </si>
  <si>
    <t>Notes on Stevenson's PICKUP ARM DESIGN(1966)</t>
  </si>
  <si>
    <t>Table 1</t>
  </si>
  <si>
    <t>Measurements of some 30cm LPs</t>
  </si>
  <si>
    <t>Inch</t>
  </si>
  <si>
    <t>mm</t>
  </si>
  <si>
    <t>x min</t>
  </si>
  <si>
    <t>x inner</t>
  </si>
  <si>
    <t>x outer</t>
  </si>
  <si>
    <t>Table 2</t>
  </si>
  <si>
    <t>Values of x (inch)  used in pickup arm design for 30cm LP</t>
  </si>
  <si>
    <t>Design 1 for 10 &amp; 12inch records has arm length between 8 and 12 inch.</t>
  </si>
  <si>
    <t>Design values</t>
  </si>
  <si>
    <t>outer</t>
  </si>
  <si>
    <t>max distortion at x2 &amp;</t>
  </si>
  <si>
    <t>Max tracking angle error</t>
  </si>
  <si>
    <t>Inches</t>
  </si>
  <si>
    <t>null point</t>
  </si>
  <si>
    <t>xp=2x0*xm^2/(x0^2+xm^2)</t>
  </si>
  <si>
    <t>type</t>
  </si>
  <si>
    <t>x0(x min)</t>
  </si>
  <si>
    <t>x2(x outer)</t>
  </si>
  <si>
    <t>x'0=xm^2/x0</t>
  </si>
  <si>
    <t>x3</t>
  </si>
  <si>
    <t>xp</t>
  </si>
  <si>
    <t>xm</t>
  </si>
  <si>
    <t>xm^2=x0^2x2/(0.8284x0+0.1716x2)</t>
  </si>
  <si>
    <t>1A</t>
  </si>
  <si>
    <t>1B</t>
  </si>
  <si>
    <t>1C</t>
  </si>
  <si>
    <t>converted to mm</t>
  </si>
  <si>
    <t>xm^2</t>
  </si>
  <si>
    <t>for 12inch records</t>
  </si>
  <si>
    <t>also for 7inch records</t>
  </si>
  <si>
    <t xml:space="preserve">when considering on the nature of record (main distortions from groove speed slowing toward inner groove)  </t>
  </si>
  <si>
    <t>How is actual geometry for arm type 1A, 1B &amp; 1C</t>
  </si>
  <si>
    <t xml:space="preserve"> when L=</t>
  </si>
  <si>
    <t>cm</t>
  </si>
  <si>
    <t>2Lsin(a) = x+(L^2-D^2)/x =y (Eq.2) where D=arm distance=L-O(Overhang)</t>
  </si>
  <si>
    <t>Hence tracking angle (a) =asin(x/2L+O(2L-O)/2Lx)</t>
  </si>
  <si>
    <t>x1x2=L^2-D^2=xm^2  (Eq.3)</t>
  </si>
  <si>
    <t>Lsin(a)=</t>
  </si>
  <si>
    <t>D=SQRT(L^2-x1x2)</t>
  </si>
  <si>
    <t>O=L-SQRT(L^2-x1x2)</t>
  </si>
  <si>
    <t>xm^2/xp=</t>
  </si>
  <si>
    <t>D=SQRT(L^2-xm^2)</t>
  </si>
  <si>
    <t>xm^2=2LO-O^2</t>
  </si>
  <si>
    <t>sin(a)=xm^2/xpL</t>
  </si>
  <si>
    <t>(x0+xm^2)/2x0</t>
  </si>
  <si>
    <t>Distance</t>
  </si>
  <si>
    <t>Overhang(O)</t>
  </si>
  <si>
    <t>Offset (a)</t>
  </si>
  <si>
    <t>Linear offset</t>
  </si>
  <si>
    <t>offset (inch)</t>
  </si>
  <si>
    <t>1B</t>
  </si>
  <si>
    <t>1C</t>
  </si>
  <si>
    <t>Above linear offset 88.66 is based on groove radius:inner 60.325, outer 145.263mm as per Stevenson.</t>
  </si>
  <si>
    <t>Calculation based on groove radius</t>
  </si>
  <si>
    <t>mm</t>
  </si>
  <si>
    <t>inner groove radius</t>
  </si>
  <si>
    <t>outer groove radius</t>
  </si>
  <si>
    <t>Stevenson's approximation of xm^2</t>
  </si>
  <si>
    <t>Linear offset=(x0^2+xm^2)/(2*x0)</t>
  </si>
  <si>
    <t>In this calculation xm^2 is essential constant lead from inner and outer groove radius</t>
  </si>
  <si>
    <t>Stevenson's approx. xm^2</t>
  </si>
  <si>
    <t>or</t>
  </si>
  <si>
    <t>for 60.325 &amp;  145.263mm</t>
  </si>
  <si>
    <t>Accurate xm^2</t>
  </si>
  <si>
    <t>theorem</t>
  </si>
  <si>
    <t>x=(-b+/-SQRT(b^2-4ac))/2a</t>
  </si>
  <si>
    <t>where</t>
  </si>
  <si>
    <t>ax^2+bx+c=0</t>
  </si>
  <si>
    <t>a=</t>
  </si>
  <si>
    <t>b=</t>
  </si>
  <si>
    <t>c=</t>
  </si>
  <si>
    <t>xm^2=</t>
  </si>
  <si>
    <t>xm^2=x1x2=xpx0^2/(2x0-xp)</t>
  </si>
  <si>
    <t>L offset</t>
  </si>
  <si>
    <t>diff ratio between approx. and above rate</t>
  </si>
  <si>
    <t>Variable in accordance with arm length</t>
  </si>
  <si>
    <t>Constant values decided by groove radius(inner and outer) and design:</t>
  </si>
  <si>
    <t>irrespective of arm length</t>
  </si>
  <si>
    <t>↓</t>
  </si>
  <si>
    <t>Conventional based on old IEC?</t>
  </si>
  <si>
    <t>IEC Inner Groove Radius</t>
  </si>
  <si>
    <t>old???</t>
  </si>
  <si>
    <t>IEC Outer Groove Radius</t>
  </si>
  <si>
    <t>Design</t>
  </si>
  <si>
    <t>Arm Length</t>
  </si>
  <si>
    <t>Overhang</t>
  </si>
  <si>
    <t>Offset Angle</t>
  </si>
  <si>
    <t>Arm Distance</t>
  </si>
  <si>
    <t>Null point</t>
  </si>
  <si>
    <t>Linear Offset</t>
  </si>
  <si>
    <t>xp</t>
  </si>
  <si>
    <t>xm^2</t>
  </si>
  <si>
    <t>xm</t>
  </si>
  <si>
    <t>x1</t>
  </si>
  <si>
    <t>x2</t>
  </si>
  <si>
    <t>Stevenson's Type</t>
  </si>
  <si>
    <t>Baerwald's Type</t>
  </si>
  <si>
    <t>Loefgren's Type</t>
  </si>
  <si>
    <t>Remarks:</t>
  </si>
  <si>
    <t xml:space="preserve">Above IEC specifications are disputable or old. </t>
  </si>
  <si>
    <t xml:space="preserve">Current IEC98(1987):Outmost groove radius 146.3mm. Inmost groove radius can be interpreted in various ways: </t>
  </si>
  <si>
    <t>NEW DESIGN A based on current IEC?</t>
  </si>
  <si>
    <t>???</t>
  </si>
  <si>
    <t>59.6 as intermediate value</t>
  </si>
  <si>
    <t>NEW DESIGN B based on current IEC?</t>
  </si>
  <si>
    <t>dist % at x2</t>
  </si>
  <si>
    <t>x3=calculated</t>
  </si>
  <si>
    <t>dist % at x3</t>
  </si>
  <si>
    <t>due to approximation formulae based on the symmetric parabolic of tracking angle variation.</t>
  </si>
  <si>
    <t>dist %</t>
  </si>
  <si>
    <t>True peak distortion radii</t>
  </si>
  <si>
    <t>same as distortion at xp</t>
  </si>
  <si>
    <r>
      <t>When</t>
    </r>
    <r>
      <rPr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Conventional</t>
    </r>
    <r>
      <rPr>
        <sz val="11"/>
        <rFont val="Times New Roman"/>
        <family val="1"/>
      </rPr>
      <t xml:space="preserve"> Groove radii are set as inner </t>
    </r>
    <r>
      <rPr>
        <b/>
        <sz val="11"/>
        <rFont val="Times New Roman"/>
        <family val="1"/>
      </rPr>
      <t>60.325</t>
    </r>
    <r>
      <rPr>
        <sz val="11"/>
        <rFont val="Times New Roman"/>
        <family val="1"/>
      </rPr>
      <t xml:space="preserve">, outer </t>
    </r>
    <r>
      <rPr>
        <b/>
        <sz val="11"/>
        <rFont val="Times New Roman"/>
        <family val="1"/>
      </rPr>
      <t>146.05</t>
    </r>
    <r>
      <rPr>
        <sz val="11"/>
        <rFont val="Times New Roman"/>
        <family val="1"/>
      </rPr>
      <t xml:space="preserve"> (Arm length 230mm). Distortion at signal 10cm/s.</t>
    </r>
  </si>
  <si>
    <t>xp (mid)</t>
  </si>
  <si>
    <t>A. 59.6mm (finishing groove radius 53.2mm+lead-out groove pitch 6.4mm)+/-3.6mm. B. 63.5mm for auto lift player?</t>
  </si>
  <si>
    <t>63.5? for auto-lift players</t>
  </si>
  <si>
    <r>
      <t xml:space="preserve">In Stevenson's proposition, the location of x3  (for instance 57.9mm for type 1A) seems </t>
    </r>
    <r>
      <rPr>
        <b/>
        <sz val="11"/>
        <rFont val="Times New Roman"/>
        <family val="1"/>
      </rPr>
      <t>contradicting</t>
    </r>
    <r>
      <rPr>
        <sz val="11"/>
        <rFont val="Times New Roman"/>
        <family val="1"/>
      </rPr>
      <t xml:space="preserve"> with the measurement of record x min 63.5mm in Table 1. </t>
    </r>
  </si>
  <si>
    <t xml:space="preserve">Tracking angle variation is asymmetric from xm point (=minimum tracking angle) looking like a parabolic inclined right. </t>
  </si>
  <si>
    <t>In fact it is not parabolic and deformed further by weighted distortion calculus (error angle divided by groove radius).</t>
  </si>
  <si>
    <t>In calculation based on equations there is difference of distortion max 0.01% order among x2, x3 and xp</t>
  </si>
  <si>
    <r>
      <t xml:space="preserve">I assume that he tried to </t>
    </r>
    <r>
      <rPr>
        <b/>
        <sz val="11"/>
        <rFont val="Times New Roman"/>
        <family val="1"/>
      </rPr>
      <t xml:space="preserve">compromise with smallest music radii of </t>
    </r>
  </si>
  <si>
    <t>7inch records for 45rpm &amp; 33 1/3rpm (RIAA 2 1/8inch=53.975mm) and 12 inch LP records (DIN 57.5mm).</t>
  </si>
  <si>
    <t>Design 2 for 7inch records is omitted since Stevenson has short arm (around 15cm) in mind.</t>
  </si>
  <si>
    <t>xp peak distortion between null points is just same at x2 and x3 (common for Stevenson/Baerwald alignments)</t>
  </si>
  <si>
    <t>for 7 &amp; 12 inch records</t>
  </si>
  <si>
    <t>Application</t>
  </si>
  <si>
    <t>because x1 (inmost groove radius) is used in equations extensively</t>
  </si>
  <si>
    <t>same angle error at xp &amp; x2</t>
  </si>
  <si>
    <t>x1</t>
  </si>
  <si>
    <t>See Fig. 4 in the right along with amendment of description indicated in the end of paper June 1966.</t>
  </si>
  <si>
    <t xml:space="preserve">Mathematically Baerwald method is clearer while Stevenson alignment looks practical </t>
  </si>
  <si>
    <t>and his designs were based on inner null point radius and outmost groove radius.</t>
  </si>
  <si>
    <t>Old design (Percy Wilson etc): lowest angle error forcusing on x1, xm and x2</t>
  </si>
  <si>
    <t>Baerwald design: lowest weighted distortion forcusing on x3, xp and x2</t>
  </si>
  <si>
    <r>
      <t xml:space="preserve">I don't know the real reason why Stevenson selected playable groove radius from x2 to </t>
    </r>
    <r>
      <rPr>
        <b/>
        <sz val="11"/>
        <color indexed="10"/>
        <rFont val="Times New Roman"/>
        <family val="1"/>
      </rPr>
      <t>x0 only</t>
    </r>
  </si>
  <si>
    <t>I suspect that there are some editorial mistakes or insufficient explanation</t>
  </si>
  <si>
    <t xml:space="preserve">while x3 (inner radius for same weighted peak distortion as that at outmost radius x2 &amp; xp) </t>
  </si>
  <si>
    <r>
      <t>and x0 are used in his design part</t>
    </r>
    <r>
      <rPr>
        <b/>
        <sz val="11"/>
        <color indexed="10"/>
        <rFont val="Times New Roman"/>
        <family val="1"/>
      </rPr>
      <t>, thus obscuring the nature of x1 and x3.</t>
    </r>
  </si>
  <si>
    <t>Distortion is relative to error angle devided(=weighted) by groove radius.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</si>
</sst>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_ "/>
    <numFmt numFmtId="180" formatCode="0.00_ "/>
    <numFmt numFmtId="181" formatCode="0.0000_ "/>
    <numFmt numFmtId="182" formatCode="0.000_ "/>
    <numFmt numFmtId="183" formatCode="&quot;IR£&quot;#,##0;\-&quot;IR£&quot;#,##0"/>
    <numFmt numFmtId="184" formatCode="&quot;IR£&quot;#,##0;[Red]\-&quot;IR£&quot;#,##0"/>
    <numFmt numFmtId="185" formatCode="&quot;IR£&quot;#,##0.00;\-&quot;IR£&quot;#,##0.00"/>
    <numFmt numFmtId="186" formatCode="&quot;IR£&quot;#,##0.00;[Red]\-&quot;IR£&quot;#,##0.00"/>
    <numFmt numFmtId="187" formatCode="_-&quot;IR£&quot;* #,##0_-;\-&quot;IR£&quot;* #,##0_-;_-&quot;IR£&quot;* &quot;-&quot;_-;_-@_-"/>
    <numFmt numFmtId="188" formatCode="_-* #,##0_-;\-* #,##0_-;_-* &quot;-&quot;_-;_-@_-"/>
    <numFmt numFmtId="189" formatCode="_-&quot;IR£&quot;* #,##0.00_-;\-&quot;IR£&quot;* #,##0.00_-;_-&quot;IR£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"/>
    <numFmt numFmtId="200" formatCode="#,##0\ &quot;F&quot;;\-#,##0\ &quot;F&quot;"/>
    <numFmt numFmtId="201" formatCode="#,##0\ &quot;F&quot;;[Red]\-#,##0\ &quot;F&quot;"/>
    <numFmt numFmtId="202" formatCode="#,##0.00\ &quot;F&quot;;\-#,##0.00\ &quot;F&quot;"/>
    <numFmt numFmtId="203" formatCode="#,##0.00\ &quot;F&quot;;[Red]\-#,##0.00\ &quot;F&quot;"/>
    <numFmt numFmtId="204" formatCode="_-* #,##0\ &quot;F&quot;_-;\-* #,##0\ &quot;F&quot;_-;_-* &quot;-&quot;\ &quot;F&quot;_-;_-@_-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  <numFmt numFmtId="208" formatCode="0.0"/>
    <numFmt numFmtId="209" formatCode="0.00000"/>
    <numFmt numFmtId="210" formatCode="0.000_);[Red]\(0.000\)"/>
    <numFmt numFmtId="211" formatCode="0.0000"/>
    <numFmt numFmtId="212" formatCode="0.000000"/>
    <numFmt numFmtId="213" formatCode=";;;"/>
    <numFmt numFmtId="214" formatCode="0.0%"/>
    <numFmt numFmtId="215" formatCode="0.000%"/>
    <numFmt numFmtId="216" formatCode="0.0000%"/>
    <numFmt numFmtId="217" formatCode="0.00_);[Red]\(0.00\)"/>
    <numFmt numFmtId="218" formatCode="0.0_ "/>
    <numFmt numFmtId="219" formatCode="0_ "/>
    <numFmt numFmtId="220" formatCode="0.E+00"/>
    <numFmt numFmtId="221" formatCode="#,##0_);[Red]\(#,##0\)"/>
    <numFmt numFmtId="222" formatCode="0.000000_ "/>
    <numFmt numFmtId="223" formatCode="0.0000_);[Red]\(0.0000\)"/>
    <numFmt numFmtId="224" formatCode="0_);[Red]\(0\)"/>
    <numFmt numFmtId="225" formatCode="#,##0_ "/>
    <numFmt numFmtId="226" formatCode="0.0_);[Red]\(0.0\)"/>
    <numFmt numFmtId="227" formatCode="0.00000%"/>
    <numFmt numFmtId="228" formatCode="0.000000_);[Red]\(0.000000\)"/>
    <numFmt numFmtId="229" formatCode="0.00000_);[Red]\(0.00000\)"/>
    <numFmt numFmtId="230" formatCode="0.00000000_);[Red]\(0.00000000\)"/>
    <numFmt numFmtId="231" formatCode="0.000000000_);[Red]\(0.000000000\)"/>
    <numFmt numFmtId="232" formatCode="0.0000000_);[Red]\(0.0000000\)"/>
    <numFmt numFmtId="233" formatCode="0.0000000000_);[Red]\(0.0000000000\)"/>
    <numFmt numFmtId="234" formatCode="0.00000000000_);[Red]\(0.00000000000\)"/>
    <numFmt numFmtId="235" formatCode="0.0000000_ "/>
    <numFmt numFmtId="236" formatCode="[$€-2]\ #,##0.00_);[Red]\([$€-2]\ #,##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20"/>
      <name val="ＭＳ Ｐゴシック"/>
      <family val="3"/>
    </font>
    <font>
      <sz val="6"/>
      <name val="ＭＳ Ｐ明朝"/>
      <family val="1"/>
    </font>
    <font>
      <b/>
      <sz val="11"/>
      <name val="Times New Roman"/>
      <family val="1"/>
    </font>
    <font>
      <sz val="6"/>
      <name val="ＭＳ Ｐゴシック"/>
      <family val="3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ＭＳ Ｐ明朝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0" fontId="7" fillId="0" borderId="1" xfId="21" applyFont="1" applyBorder="1">
      <alignment/>
      <protection/>
    </xf>
    <xf numFmtId="0" fontId="3" fillId="0" borderId="1" xfId="21" applyFont="1" applyBorder="1">
      <alignment/>
      <protection/>
    </xf>
    <xf numFmtId="182" fontId="3" fillId="0" borderId="1" xfId="21" applyNumberFormat="1" applyFont="1" applyBorder="1">
      <alignment/>
      <protection/>
    </xf>
    <xf numFmtId="180" fontId="3" fillId="0" borderId="1" xfId="21" applyNumberFormat="1" applyFont="1" applyBorder="1">
      <alignment/>
      <protection/>
    </xf>
    <xf numFmtId="0" fontId="7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7" fillId="0" borderId="0" xfId="2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180" fontId="3" fillId="0" borderId="0" xfId="21" applyNumberFormat="1" applyFont="1" applyBorder="1">
      <alignment/>
      <protection/>
    </xf>
    <xf numFmtId="210" fontId="3" fillId="0" borderId="4" xfId="21" applyNumberFormat="1" applyFont="1" applyBorder="1">
      <alignment/>
      <protection/>
    </xf>
    <xf numFmtId="210" fontId="3" fillId="0" borderId="5" xfId="21" applyNumberFormat="1" applyFont="1" applyBorder="1">
      <alignment/>
      <protection/>
    </xf>
    <xf numFmtId="210" fontId="3" fillId="0" borderId="0" xfId="21" applyNumberFormat="1" applyFont="1" applyBorder="1">
      <alignment/>
      <protection/>
    </xf>
    <xf numFmtId="182" fontId="3" fillId="0" borderId="0" xfId="21" applyNumberFormat="1" applyFont="1" applyBorder="1">
      <alignment/>
      <protection/>
    </xf>
    <xf numFmtId="182" fontId="3" fillId="0" borderId="0" xfId="21" applyNumberFormat="1" applyFont="1">
      <alignment/>
      <protection/>
    </xf>
    <xf numFmtId="210" fontId="3" fillId="0" borderId="6" xfId="21" applyNumberFormat="1" applyFont="1" applyBorder="1">
      <alignment/>
      <protection/>
    </xf>
    <xf numFmtId="210" fontId="3" fillId="0" borderId="7" xfId="21" applyNumberFormat="1" applyFont="1" applyBorder="1">
      <alignment/>
      <protection/>
    </xf>
    <xf numFmtId="0" fontId="3" fillId="0" borderId="8" xfId="21" applyFont="1" applyBorder="1">
      <alignment/>
      <protection/>
    </xf>
    <xf numFmtId="0" fontId="3" fillId="0" borderId="1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180" fontId="3" fillId="0" borderId="1" xfId="21" applyNumberFormat="1" applyFont="1" applyBorder="1" applyAlignment="1">
      <alignment horizontal="center"/>
      <protection/>
    </xf>
    <xf numFmtId="182" fontId="7" fillId="0" borderId="1" xfId="21" applyNumberFormat="1" applyFont="1" applyBorder="1">
      <alignment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3" fillId="2" borderId="1" xfId="21" applyFont="1" applyFill="1" applyBorder="1">
      <alignment/>
      <protection/>
    </xf>
    <xf numFmtId="0" fontId="3" fillId="0" borderId="9" xfId="21" applyFont="1" applyBorder="1">
      <alignment/>
      <protection/>
    </xf>
    <xf numFmtId="0" fontId="3" fillId="0" borderId="10" xfId="21" applyFont="1" applyBorder="1">
      <alignment/>
      <protection/>
    </xf>
    <xf numFmtId="0" fontId="3" fillId="0" borderId="11" xfId="21" applyFont="1" applyBorder="1">
      <alignment/>
      <protection/>
    </xf>
    <xf numFmtId="182" fontId="3" fillId="0" borderId="9" xfId="21" applyNumberFormat="1" applyFont="1" applyBorder="1">
      <alignment/>
      <protection/>
    </xf>
    <xf numFmtId="182" fontId="3" fillId="0" borderId="10" xfId="21" applyNumberFormat="1" applyFont="1" applyBorder="1">
      <alignment/>
      <protection/>
    </xf>
    <xf numFmtId="229" fontId="3" fillId="0" borderId="11" xfId="21" applyNumberFormat="1" applyFont="1" applyBorder="1">
      <alignment/>
      <protection/>
    </xf>
    <xf numFmtId="229" fontId="3" fillId="0" borderId="1" xfId="21" applyNumberFormat="1" applyFont="1" applyBorder="1">
      <alignment/>
      <protection/>
    </xf>
    <xf numFmtId="180" fontId="3" fillId="0" borderId="0" xfId="21" applyNumberFormat="1" applyFont="1">
      <alignment/>
      <protection/>
    </xf>
    <xf numFmtId="179" fontId="3" fillId="0" borderId="9" xfId="21" applyNumberFormat="1" applyFont="1" applyBorder="1">
      <alignment/>
      <protection/>
    </xf>
    <xf numFmtId="229" fontId="3" fillId="3" borderId="1" xfId="21" applyNumberFormat="1" applyFont="1" applyFill="1" applyBorder="1">
      <alignment/>
      <protection/>
    </xf>
    <xf numFmtId="0" fontId="3" fillId="0" borderId="7" xfId="21" applyFont="1" applyBorder="1">
      <alignment/>
      <protection/>
    </xf>
    <xf numFmtId="229" fontId="3" fillId="0" borderId="8" xfId="21" applyNumberFormat="1" applyFont="1" applyBorder="1">
      <alignment/>
      <protection/>
    </xf>
    <xf numFmtId="182" fontId="3" fillId="3" borderId="1" xfId="21" applyNumberFormat="1" applyFont="1" applyFill="1" applyBorder="1">
      <alignment/>
      <protection/>
    </xf>
    <xf numFmtId="182" fontId="7" fillId="0" borderId="0" xfId="21" applyNumberFormat="1" applyFont="1" applyFill="1" applyBorder="1">
      <alignment/>
      <protection/>
    </xf>
    <xf numFmtId="180" fontId="7" fillId="0" borderId="0" xfId="21" applyNumberFormat="1" applyFont="1" applyFill="1" applyBorder="1">
      <alignment/>
      <protection/>
    </xf>
    <xf numFmtId="217" fontId="7" fillId="0" borderId="0" xfId="21" applyNumberFormat="1" applyFont="1" applyFill="1" applyBorder="1">
      <alignment/>
      <protection/>
    </xf>
    <xf numFmtId="0" fontId="3" fillId="0" borderId="0" xfId="21" applyFont="1" applyFill="1">
      <alignment/>
      <protection/>
    </xf>
    <xf numFmtId="210" fontId="7" fillId="0" borderId="1" xfId="21" applyNumberFormat="1" applyFont="1" applyFill="1" applyBorder="1">
      <alignment/>
      <protection/>
    </xf>
    <xf numFmtId="210" fontId="3" fillId="3" borderId="1" xfId="21" applyNumberFormat="1" applyFont="1" applyFill="1" applyBorder="1">
      <alignment/>
      <protection/>
    </xf>
    <xf numFmtId="227" fontId="3" fillId="0" borderId="0" xfId="21" applyNumberFormat="1" applyFont="1">
      <alignment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21" applyFont="1" applyAlignment="1">
      <alignment horizontal="center"/>
      <protection/>
    </xf>
    <xf numFmtId="218" fontId="3" fillId="0" borderId="0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 applyProtection="1">
      <alignment vertical="center"/>
      <protection locked="0"/>
    </xf>
    <xf numFmtId="0" fontId="3" fillId="3" borderId="13" xfId="22" applyFont="1" applyFill="1" applyBorder="1">
      <alignment/>
      <protection/>
    </xf>
    <xf numFmtId="0" fontId="7" fillId="3" borderId="14" xfId="0" applyFont="1" applyFill="1" applyBorder="1" applyAlignment="1" applyProtection="1">
      <alignment horizontal="right" vertical="center"/>
      <protection/>
    </xf>
    <xf numFmtId="0" fontId="3" fillId="3" borderId="15" xfId="0" applyNumberFormat="1" applyFont="1" applyFill="1" applyBorder="1" applyAlignment="1" applyProtection="1">
      <alignment vertical="center"/>
      <protection locked="0"/>
    </xf>
    <xf numFmtId="0" fontId="3" fillId="3" borderId="7" xfId="22" applyFont="1" applyFill="1" applyBorder="1">
      <alignment/>
      <protection/>
    </xf>
    <xf numFmtId="0" fontId="3" fillId="3" borderId="16" xfId="0" applyFont="1" applyFill="1" applyBorder="1" applyAlignment="1" applyProtection="1">
      <alignment horizontal="right" vertical="center"/>
      <protection/>
    </xf>
    <xf numFmtId="0" fontId="3" fillId="0" borderId="1" xfId="22" applyFont="1" applyBorder="1">
      <alignment/>
      <protection/>
    </xf>
    <xf numFmtId="0" fontId="3" fillId="0" borderId="1" xfId="22" applyFont="1" applyFill="1" applyBorder="1" applyAlignment="1" applyProtection="1">
      <alignment horizontal="center"/>
      <protection locked="0"/>
    </xf>
    <xf numFmtId="0" fontId="3" fillId="0" borderId="9" xfId="22" applyFont="1" applyFill="1" applyBorder="1" applyAlignment="1">
      <alignment horizontal="center"/>
      <protection/>
    </xf>
    <xf numFmtId="0" fontId="3" fillId="0" borderId="17" xfId="22" applyFont="1" applyFill="1" applyBorder="1" applyAlignment="1">
      <alignment horizontal="center"/>
      <protection/>
    </xf>
    <xf numFmtId="0" fontId="3" fillId="0" borderId="1" xfId="22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1" xfId="22" applyFont="1" applyFill="1" applyBorder="1" applyProtection="1">
      <alignment/>
      <protection locked="0"/>
    </xf>
    <xf numFmtId="0" fontId="3" fillId="2" borderId="1" xfId="22" applyFont="1" applyFill="1" applyBorder="1" applyAlignment="1" applyProtection="1">
      <alignment horizontal="center"/>
      <protection/>
    </xf>
    <xf numFmtId="210" fontId="3" fillId="0" borderId="1" xfId="22" applyNumberFormat="1" applyFont="1" applyFill="1" applyBorder="1" applyAlignment="1" applyProtection="1">
      <alignment horizontal="center"/>
      <protection/>
    </xf>
    <xf numFmtId="229" fontId="3" fillId="0" borderId="1" xfId="22" applyNumberFormat="1" applyFont="1" applyFill="1" applyBorder="1" applyAlignment="1" applyProtection="1">
      <alignment horizontal="center"/>
      <protection/>
    </xf>
    <xf numFmtId="210" fontId="3" fillId="0" borderId="9" xfId="22" applyNumberFormat="1" applyFont="1" applyFill="1" applyBorder="1" applyAlignment="1" applyProtection="1">
      <alignment horizontal="center"/>
      <protection/>
    </xf>
    <xf numFmtId="182" fontId="7" fillId="3" borderId="19" xfId="22" applyNumberFormat="1" applyFont="1" applyFill="1" applyBorder="1" applyAlignment="1" applyProtection="1">
      <alignment horizontal="center"/>
      <protection/>
    </xf>
    <xf numFmtId="182" fontId="3" fillId="3" borderId="20" xfId="22" applyNumberFormat="1" applyFont="1" applyFill="1" applyBorder="1" applyAlignment="1" applyProtection="1">
      <alignment horizontal="center"/>
      <protection/>
    </xf>
    <xf numFmtId="210" fontId="3" fillId="3" borderId="18" xfId="22" applyNumberFormat="1" applyFont="1" applyFill="1" applyBorder="1" applyAlignment="1" applyProtection="1">
      <alignment horizontal="center"/>
      <protection/>
    </xf>
    <xf numFmtId="210" fontId="3" fillId="0" borderId="0" xfId="21" applyNumberFormat="1" applyFont="1" applyBorder="1" applyAlignment="1">
      <alignment horizontal="center"/>
      <protection/>
    </xf>
    <xf numFmtId="181" fontId="7" fillId="0" borderId="1" xfId="21" applyNumberFormat="1" applyFont="1" applyBorder="1">
      <alignment/>
      <protection/>
    </xf>
    <xf numFmtId="217" fontId="3" fillId="0" borderId="0" xfId="0" applyNumberFormat="1" applyFont="1" applyFill="1" applyBorder="1" applyAlignment="1">
      <alignment horizontal="center"/>
    </xf>
    <xf numFmtId="217" fontId="3" fillId="0" borderId="0" xfId="21" applyNumberFormat="1" applyFont="1" applyFill="1" applyBorder="1" applyAlignment="1">
      <alignment horizontal="center"/>
      <protection/>
    </xf>
    <xf numFmtId="210" fontId="3" fillId="0" borderId="20" xfId="21" applyNumberFormat="1" applyFont="1" applyFill="1" applyBorder="1" applyAlignment="1">
      <alignment horizontal="center"/>
      <protection/>
    </xf>
    <xf numFmtId="0" fontId="3" fillId="0" borderId="1" xfId="22" applyFont="1" applyFill="1" applyBorder="1" applyAlignment="1" applyProtection="1">
      <alignment horizontal="center"/>
      <protection/>
    </xf>
    <xf numFmtId="182" fontId="3" fillId="3" borderId="21" xfId="22" applyNumberFormat="1" applyFont="1" applyFill="1" applyBorder="1" applyAlignment="1" applyProtection="1">
      <alignment horizontal="center"/>
      <protection/>
    </xf>
    <xf numFmtId="182" fontId="3" fillId="3" borderId="22" xfId="22" applyNumberFormat="1" applyFont="1" applyFill="1" applyBorder="1" applyAlignment="1" applyProtection="1">
      <alignment horizontal="center"/>
      <protection/>
    </xf>
    <xf numFmtId="210" fontId="3" fillId="3" borderId="23" xfId="22" applyNumberFormat="1" applyFont="1" applyFill="1" applyBorder="1" applyAlignment="1" applyProtection="1">
      <alignment horizontal="center"/>
      <protection/>
    </xf>
    <xf numFmtId="181" fontId="3" fillId="0" borderId="20" xfId="21" applyNumberFormat="1" applyFont="1" applyBorder="1">
      <alignment/>
      <protection/>
    </xf>
    <xf numFmtId="210" fontId="7" fillId="0" borderId="1" xfId="21" applyNumberFormat="1" applyFont="1" applyFill="1" applyBorder="1" applyAlignment="1">
      <alignment horizontal="center"/>
      <protection/>
    </xf>
    <xf numFmtId="182" fontId="3" fillId="3" borderId="24" xfId="22" applyNumberFormat="1" applyFont="1" applyFill="1" applyBorder="1" applyAlignment="1" applyProtection="1">
      <alignment horizontal="center"/>
      <protection/>
    </xf>
    <xf numFmtId="182" fontId="3" fillId="3" borderId="25" xfId="22" applyNumberFormat="1" applyFont="1" applyFill="1" applyBorder="1" applyAlignment="1" applyProtection="1">
      <alignment horizontal="center"/>
      <protection/>
    </xf>
    <xf numFmtId="210" fontId="3" fillId="3" borderId="26" xfId="22" applyNumberFormat="1" applyFont="1" applyFill="1" applyBorder="1" applyAlignment="1" applyProtection="1">
      <alignment horizontal="center"/>
      <protection/>
    </xf>
    <xf numFmtId="181" fontId="3" fillId="0" borderId="27" xfId="21" applyNumberFormat="1" applyFont="1" applyBorder="1">
      <alignment/>
      <protection/>
    </xf>
    <xf numFmtId="210" fontId="3" fillId="0" borderId="27" xfId="21" applyNumberFormat="1" applyFont="1" applyFill="1" applyBorder="1" applyAlignment="1">
      <alignment horizontal="center"/>
      <protection/>
    </xf>
    <xf numFmtId="0" fontId="3" fillId="0" borderId="0" xfId="22" applyFont="1">
      <alignment/>
      <protection/>
    </xf>
    <xf numFmtId="0" fontId="3" fillId="0" borderId="0" xfId="22" applyFont="1" applyFill="1">
      <alignment/>
      <protection/>
    </xf>
    <xf numFmtId="0" fontId="3" fillId="0" borderId="0" xfId="22" applyFont="1" applyFill="1" applyAlignment="1">
      <alignment/>
      <protection/>
    </xf>
    <xf numFmtId="210" fontId="3" fillId="0" borderId="0" xfId="21" applyNumberFormat="1" applyFont="1">
      <alignment/>
      <protection/>
    </xf>
    <xf numFmtId="226" fontId="3" fillId="0" borderId="0" xfId="21" applyNumberFormat="1" applyFont="1" applyFill="1">
      <alignment/>
      <protection/>
    </xf>
    <xf numFmtId="0" fontId="3" fillId="0" borderId="0" xfId="22" applyFont="1" applyFill="1" applyBorder="1">
      <alignment/>
      <protection/>
    </xf>
    <xf numFmtId="0" fontId="3" fillId="4" borderId="12" xfId="0" applyNumberFormat="1" applyFont="1" applyFill="1" applyBorder="1" applyAlignment="1" applyProtection="1">
      <alignment vertical="center"/>
      <protection locked="0"/>
    </xf>
    <xf numFmtId="0" fontId="3" fillId="4" borderId="28" xfId="22" applyFont="1" applyFill="1" applyBorder="1">
      <alignment/>
      <protection/>
    </xf>
    <xf numFmtId="218" fontId="7" fillId="4" borderId="14" xfId="0" applyNumberFormat="1" applyFont="1" applyFill="1" applyBorder="1" applyAlignment="1" applyProtection="1">
      <alignment horizontal="right" vertical="center"/>
      <protection/>
    </xf>
    <xf numFmtId="210" fontId="3" fillId="0" borderId="0" xfId="0" applyNumberFormat="1" applyFont="1" applyAlignment="1">
      <alignment/>
    </xf>
    <xf numFmtId="0" fontId="3" fillId="4" borderId="15" xfId="0" applyNumberFormat="1" applyFont="1" applyFill="1" applyBorder="1" applyAlignment="1" applyProtection="1">
      <alignment vertical="center"/>
      <protection locked="0"/>
    </xf>
    <xf numFmtId="0" fontId="3" fillId="4" borderId="7" xfId="22" applyFont="1" applyFill="1" applyBorder="1">
      <alignment/>
      <protection/>
    </xf>
    <xf numFmtId="218" fontId="3" fillId="4" borderId="16" xfId="0" applyNumberFormat="1" applyFont="1" applyFill="1" applyBorder="1" applyAlignment="1" applyProtection="1">
      <alignment horizontal="right" vertical="center"/>
      <protection/>
    </xf>
    <xf numFmtId="226" fontId="3" fillId="0" borderId="0" xfId="21" applyNumberFormat="1" applyFont="1" applyAlignment="1">
      <alignment horizontal="center"/>
      <protection/>
    </xf>
    <xf numFmtId="210" fontId="7" fillId="4" borderId="19" xfId="22" applyNumberFormat="1" applyFont="1" applyFill="1" applyBorder="1" applyAlignment="1" applyProtection="1">
      <alignment horizontal="center"/>
      <protection/>
    </xf>
    <xf numFmtId="210" fontId="3" fillId="4" borderId="20" xfId="22" applyNumberFormat="1" applyFont="1" applyFill="1" applyBorder="1" applyAlignment="1" applyProtection="1">
      <alignment horizontal="center"/>
      <protection/>
    </xf>
    <xf numFmtId="210" fontId="3" fillId="4" borderId="18" xfId="22" applyNumberFormat="1" applyFont="1" applyFill="1" applyBorder="1" applyAlignment="1" applyProtection="1">
      <alignment horizontal="center"/>
      <protection/>
    </xf>
    <xf numFmtId="226" fontId="3" fillId="0" borderId="0" xfId="0" applyNumberFormat="1" applyFont="1" applyFill="1" applyBorder="1" applyAlignment="1">
      <alignment horizontal="center"/>
    </xf>
    <xf numFmtId="226" fontId="3" fillId="0" borderId="0" xfId="21" applyNumberFormat="1" applyFont="1" applyFill="1" applyBorder="1" applyAlignment="1">
      <alignment horizontal="center"/>
      <protection/>
    </xf>
    <xf numFmtId="217" fontId="3" fillId="0" borderId="20" xfId="21" applyNumberFormat="1" applyFont="1" applyFill="1" applyBorder="1" applyAlignment="1">
      <alignment horizontal="center"/>
      <protection/>
    </xf>
    <xf numFmtId="210" fontId="3" fillId="4" borderId="21" xfId="22" applyNumberFormat="1" applyFont="1" applyFill="1" applyBorder="1" applyAlignment="1" applyProtection="1">
      <alignment horizontal="center"/>
      <protection/>
    </xf>
    <xf numFmtId="210" fontId="3" fillId="4" borderId="22" xfId="22" applyNumberFormat="1" applyFont="1" applyFill="1" applyBorder="1" applyAlignment="1" applyProtection="1">
      <alignment horizontal="center"/>
      <protection/>
    </xf>
    <xf numFmtId="210" fontId="3" fillId="4" borderId="23" xfId="22" applyNumberFormat="1" applyFont="1" applyFill="1" applyBorder="1" applyAlignment="1" applyProtection="1">
      <alignment horizontal="center"/>
      <protection/>
    </xf>
    <xf numFmtId="217" fontId="7" fillId="0" borderId="1" xfId="21" applyNumberFormat="1" applyFont="1" applyFill="1" applyBorder="1" applyAlignment="1">
      <alignment horizontal="center"/>
      <protection/>
    </xf>
    <xf numFmtId="210" fontId="3" fillId="4" borderId="29" xfId="22" applyNumberFormat="1" applyFont="1" applyFill="1" applyBorder="1" applyAlignment="1" applyProtection="1">
      <alignment horizontal="center"/>
      <protection/>
    </xf>
    <xf numFmtId="210" fontId="3" fillId="4" borderId="30" xfId="22" applyNumberFormat="1" applyFont="1" applyFill="1" applyBorder="1" applyAlignment="1" applyProtection="1">
      <alignment horizontal="center"/>
      <protection/>
    </xf>
    <xf numFmtId="210" fontId="3" fillId="4" borderId="26" xfId="22" applyNumberFormat="1" applyFont="1" applyFill="1" applyBorder="1" applyAlignment="1" applyProtection="1">
      <alignment horizontal="center"/>
      <protection/>
    </xf>
    <xf numFmtId="217" fontId="3" fillId="0" borderId="27" xfId="21" applyNumberFormat="1" applyFont="1" applyFill="1" applyBorder="1" applyAlignment="1">
      <alignment horizontal="center"/>
      <protection/>
    </xf>
    <xf numFmtId="217" fontId="3" fillId="0" borderId="0" xfId="22" applyNumberFormat="1" applyFont="1" applyFill="1" applyAlignment="1">
      <alignment/>
      <protection/>
    </xf>
    <xf numFmtId="217" fontId="3" fillId="0" borderId="0" xfId="22" applyNumberFormat="1" applyFont="1" applyFill="1">
      <alignment/>
      <protection/>
    </xf>
    <xf numFmtId="217" fontId="3" fillId="0" borderId="0" xfId="0" applyNumberFormat="1" applyFont="1" applyAlignment="1">
      <alignment/>
    </xf>
    <xf numFmtId="217" fontId="3" fillId="0" borderId="0" xfId="21" applyNumberFormat="1" applyFont="1">
      <alignment/>
      <protection/>
    </xf>
    <xf numFmtId="217" fontId="3" fillId="4" borderId="12" xfId="0" applyNumberFormat="1" applyFont="1" applyFill="1" applyBorder="1" applyAlignment="1" applyProtection="1">
      <alignment vertical="center"/>
      <protection locked="0"/>
    </xf>
    <xf numFmtId="217" fontId="3" fillId="4" borderId="28" xfId="22" applyNumberFormat="1" applyFont="1" applyFill="1" applyBorder="1">
      <alignment/>
      <protection/>
    </xf>
    <xf numFmtId="226" fontId="7" fillId="4" borderId="14" xfId="0" applyNumberFormat="1" applyFont="1" applyFill="1" applyBorder="1" applyAlignment="1" applyProtection="1">
      <alignment horizontal="right" vertical="center"/>
      <protection/>
    </xf>
    <xf numFmtId="217" fontId="3" fillId="0" borderId="0" xfId="21" applyNumberFormat="1" applyFont="1" applyFill="1">
      <alignment/>
      <protection/>
    </xf>
    <xf numFmtId="217" fontId="3" fillId="4" borderId="15" xfId="0" applyNumberFormat="1" applyFont="1" applyFill="1" applyBorder="1" applyAlignment="1" applyProtection="1">
      <alignment vertical="center"/>
      <protection locked="0"/>
    </xf>
    <xf numFmtId="217" fontId="3" fillId="4" borderId="7" xfId="22" applyNumberFormat="1" applyFont="1" applyFill="1" applyBorder="1">
      <alignment/>
      <protection/>
    </xf>
    <xf numFmtId="226" fontId="3" fillId="4" borderId="16" xfId="0" applyNumberFormat="1" applyFont="1" applyFill="1" applyBorder="1" applyAlignment="1" applyProtection="1">
      <alignment horizontal="right" vertical="center"/>
      <protection/>
    </xf>
    <xf numFmtId="217" fontId="3" fillId="0" borderId="17" xfId="22" applyNumberFormat="1" applyFont="1" applyFill="1" applyBorder="1" applyAlignment="1">
      <alignment horizontal="center"/>
      <protection/>
    </xf>
    <xf numFmtId="217" fontId="3" fillId="0" borderId="1" xfId="22" applyNumberFormat="1" applyFont="1" applyFill="1" applyBorder="1" applyAlignment="1">
      <alignment horizontal="center"/>
      <protection/>
    </xf>
    <xf numFmtId="217" fontId="3" fillId="0" borderId="18" xfId="22" applyNumberFormat="1" applyFont="1" applyFill="1" applyBorder="1" applyAlignment="1">
      <alignment horizontal="center"/>
      <protection/>
    </xf>
    <xf numFmtId="217" fontId="3" fillId="0" borderId="0" xfId="21" applyNumberFormat="1" applyFont="1" applyAlignment="1">
      <alignment horizontal="center"/>
      <protection/>
    </xf>
    <xf numFmtId="181" fontId="7" fillId="0" borderId="1" xfId="21" applyNumberFormat="1" applyFont="1" applyFill="1" applyBorder="1">
      <alignment/>
      <protection/>
    </xf>
    <xf numFmtId="210" fontId="3" fillId="4" borderId="24" xfId="22" applyNumberFormat="1" applyFont="1" applyFill="1" applyBorder="1" applyAlignment="1" applyProtection="1">
      <alignment horizontal="center"/>
      <protection/>
    </xf>
    <xf numFmtId="210" fontId="3" fillId="4" borderId="25" xfId="22" applyNumberFormat="1" applyFont="1" applyFill="1" applyBorder="1" applyAlignment="1" applyProtection="1">
      <alignment horizontal="center"/>
      <protection/>
    </xf>
    <xf numFmtId="0" fontId="3" fillId="0" borderId="0" xfId="22" applyFont="1" applyFill="1" applyBorder="1" applyProtection="1">
      <alignment/>
      <protection locked="0"/>
    </xf>
    <xf numFmtId="0" fontId="3" fillId="0" borderId="0" xfId="22" applyFont="1" applyFill="1" applyBorder="1" applyAlignment="1" applyProtection="1">
      <alignment horizontal="center"/>
      <protection/>
    </xf>
    <xf numFmtId="217" fontId="3" fillId="0" borderId="0" xfId="22" applyNumberFormat="1" applyFont="1" applyFill="1" applyBorder="1" applyAlignment="1" applyProtection="1">
      <alignment horizontal="center"/>
      <protection/>
    </xf>
    <xf numFmtId="210" fontId="3" fillId="0" borderId="0" xfId="22" applyNumberFormat="1" applyFont="1" applyFill="1" applyBorder="1" applyAlignment="1" applyProtection="1">
      <alignment horizontal="center"/>
      <protection/>
    </xf>
    <xf numFmtId="181" fontId="3" fillId="0" borderId="0" xfId="21" applyNumberFormat="1" applyFont="1" applyBorder="1">
      <alignment/>
      <protection/>
    </xf>
    <xf numFmtId="0" fontId="3" fillId="0" borderId="9" xfId="21" applyFont="1" applyBorder="1" applyAlignment="1">
      <alignment horizontal="center"/>
      <protection/>
    </xf>
    <xf numFmtId="0" fontId="3" fillId="0" borderId="10" xfId="21" applyFont="1" applyBorder="1" applyAlignment="1">
      <alignment horizontal="center"/>
      <protection/>
    </xf>
    <xf numFmtId="0" fontId="3" fillId="0" borderId="11" xfId="21" applyFont="1" applyBorder="1" applyAlignment="1">
      <alignment horizontal="center"/>
      <protection/>
    </xf>
    <xf numFmtId="210" fontId="3" fillId="0" borderId="6" xfId="21" applyNumberFormat="1" applyFont="1" applyBorder="1" applyAlignment="1">
      <alignment horizontal="center"/>
      <protection/>
    </xf>
    <xf numFmtId="0" fontId="3" fillId="0" borderId="0" xfId="21">
      <alignment/>
      <protection/>
    </xf>
    <xf numFmtId="223" fontId="3" fillId="3" borderId="7" xfId="21" applyNumberFormat="1" applyFont="1" applyFill="1" applyBorder="1" applyAlignment="1">
      <alignment horizontal="center"/>
      <protection/>
    </xf>
    <xf numFmtId="210" fontId="3" fillId="3" borderId="8" xfId="21" applyNumberFormat="1" applyFont="1" applyFill="1" applyBorder="1" applyAlignment="1">
      <alignment horizontal="center"/>
      <protection/>
    </xf>
    <xf numFmtId="217" fontId="10" fillId="0" borderId="17" xfId="21" applyNumberFormat="1" applyFont="1" applyBorder="1">
      <alignment/>
      <protection/>
    </xf>
    <xf numFmtId="217" fontId="10" fillId="0" borderId="18" xfId="21" applyNumberFormat="1" applyFont="1" applyBorder="1">
      <alignment/>
      <protection/>
    </xf>
    <xf numFmtId="210" fontId="10" fillId="0" borderId="24" xfId="21" applyNumberFormat="1" applyFont="1" applyBorder="1">
      <alignment/>
      <protection/>
    </xf>
    <xf numFmtId="217" fontId="10" fillId="0" borderId="25" xfId="21" applyNumberFormat="1" applyFont="1" applyBorder="1">
      <alignment/>
      <protection/>
    </xf>
    <xf numFmtId="0" fontId="7" fillId="0" borderId="9" xfId="21" applyFont="1" applyBorder="1" applyAlignment="1">
      <alignment horizontal="center"/>
      <protection/>
    </xf>
    <xf numFmtId="210" fontId="7" fillId="0" borderId="6" xfId="21" applyNumberFormat="1" applyFont="1" applyBorder="1" applyAlignment="1">
      <alignment horizontal="center"/>
      <protection/>
    </xf>
    <xf numFmtId="210" fontId="3" fillId="3" borderId="6" xfId="21" applyNumberFormat="1" applyFont="1" applyFill="1" applyBorder="1" applyAlignment="1">
      <alignment horizontal="center"/>
      <protection/>
    </xf>
    <xf numFmtId="210" fontId="7" fillId="0" borderId="9" xfId="21" applyNumberFormat="1" applyFont="1" applyBorder="1" applyAlignment="1">
      <alignment horizontal="center"/>
      <protection/>
    </xf>
    <xf numFmtId="223" fontId="3" fillId="3" borderId="10" xfId="21" applyNumberFormat="1" applyFont="1" applyFill="1" applyBorder="1" applyAlignment="1">
      <alignment horizontal="center"/>
      <protection/>
    </xf>
    <xf numFmtId="210" fontId="3" fillId="0" borderId="9" xfId="21" applyNumberFormat="1" applyFont="1" applyBorder="1" applyAlignment="1">
      <alignment horizontal="center"/>
      <protection/>
    </xf>
    <xf numFmtId="210" fontId="3" fillId="3" borderId="11" xfId="21" applyNumberFormat="1" applyFont="1" applyFill="1" applyBorder="1" applyAlignment="1">
      <alignment horizontal="center"/>
      <protection/>
    </xf>
    <xf numFmtId="210" fontId="3" fillId="3" borderId="18" xfId="21" applyNumberFormat="1" applyFont="1" applyFill="1" applyBorder="1" applyAlignment="1">
      <alignment horizontal="center"/>
      <protection/>
    </xf>
    <xf numFmtId="182" fontId="7" fillId="0" borderId="0" xfId="21" applyNumberFormat="1" applyFont="1" applyBorder="1">
      <alignment/>
      <protection/>
    </xf>
    <xf numFmtId="0" fontId="3" fillId="3" borderId="1" xfId="21" applyFont="1" applyFill="1" applyBorder="1" applyAlignment="1">
      <alignment horizontal="center"/>
      <protection/>
    </xf>
    <xf numFmtId="0" fontId="13" fillId="0" borderId="0" xfId="21" applyFont="1">
      <alignment/>
      <protection/>
    </xf>
    <xf numFmtId="180" fontId="9" fillId="0" borderId="0" xfId="21" applyNumberFormat="1" applyFont="1" applyAlignment="1">
      <alignment horizontal="center"/>
      <protection/>
    </xf>
    <xf numFmtId="182" fontId="7" fillId="3" borderId="1" xfId="21" applyNumberFormat="1" applyFont="1" applyFill="1" applyBorder="1">
      <alignment/>
      <protection/>
    </xf>
    <xf numFmtId="0" fontId="3" fillId="0" borderId="31" xfId="21" applyFont="1" applyBorder="1" applyAlignment="1">
      <alignment horizontal="center"/>
      <protection/>
    </xf>
    <xf numFmtId="0" fontId="0" fillId="0" borderId="32" xfId="0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1" xfId="21"/>
    <cellStyle name="標準_compa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Overhang vs Tracking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D/L=0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D/L=0.02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D/L=0.04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D/L=0.06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D/L=0.08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D/L=0.1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D/L=-0.088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stevenson!#REF!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stevenson!#REF!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013019"/>
        <c:axId val="27117172"/>
      </c:scatterChart>
      <c:valAx>
        <c:axId val="301301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7117172"/>
        <c:crosses val="autoZero"/>
        <c:crossBetween val="midCat"/>
        <c:dispUnits/>
      </c:valAx>
      <c:valAx>
        <c:axId val="27117172"/>
        <c:scaling>
          <c:orientation val="minMax"/>
          <c:max val="3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13019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8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" y="0"/>
        <a:ext cx="700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438150</xdr:colOff>
      <xdr:row>24</xdr:row>
      <xdr:rowOff>57150</xdr:rowOff>
    </xdr:from>
    <xdr:to>
      <xdr:col>16</xdr:col>
      <xdr:colOff>85725</xdr:colOff>
      <xdr:row>53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4629150"/>
          <a:ext cx="3686175" cy="5572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552450</xdr:colOff>
      <xdr:row>53</xdr:row>
      <xdr:rowOff>104775</xdr:rowOff>
    </xdr:from>
    <xdr:to>
      <xdr:col>16</xdr:col>
      <xdr:colOff>95250</xdr:colOff>
      <xdr:row>60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0100" y="10201275"/>
          <a:ext cx="3581400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81">
      <selection activeCell="L94" sqref="L94"/>
    </sheetView>
  </sheetViews>
  <sheetFormatPr defaultColWidth="9.00390625" defaultRowHeight="13.5"/>
  <cols>
    <col min="1" max="1" width="17.625" style="147" customWidth="1"/>
    <col min="2" max="2" width="8.75390625" style="147" customWidth="1"/>
    <col min="3" max="3" width="8.50390625" style="147" customWidth="1"/>
    <col min="4" max="4" width="9.50390625" style="147" customWidth="1"/>
    <col min="5" max="5" width="10.375" style="147" customWidth="1"/>
    <col min="6" max="6" width="9.50390625" style="147" customWidth="1"/>
    <col min="7" max="7" width="9.375" style="147" customWidth="1"/>
    <col min="8" max="8" width="10.875" style="147" customWidth="1"/>
    <col min="9" max="9" width="8.75390625" style="147" customWidth="1"/>
    <col min="10" max="10" width="10.00390625" style="147" customWidth="1"/>
    <col min="11" max="11" width="9.25390625" style="147" customWidth="1"/>
    <col min="12" max="12" width="10.00390625" style="147" customWidth="1"/>
    <col min="13" max="13" width="9.75390625" style="147" customWidth="1"/>
    <col min="14" max="16384" width="8.00390625" style="147" customWidth="1"/>
  </cols>
  <sheetData>
    <row r="1" spans="1:12" s="3" customFormat="1" ht="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" s="3" customFormat="1" ht="15">
      <c r="A2" s="4" t="s">
        <v>2</v>
      </c>
      <c r="B2" s="5" t="s">
        <v>3</v>
      </c>
      <c r="C2" s="6"/>
      <c r="D2" s="6"/>
    </row>
    <row r="3" spans="2:4" s="3" customFormat="1" ht="15">
      <c r="B3" s="6"/>
      <c r="C3" s="6" t="s">
        <v>4</v>
      </c>
      <c r="D3" s="6" t="s">
        <v>5</v>
      </c>
    </row>
    <row r="4" spans="2:4" s="3" customFormat="1" ht="15">
      <c r="B4" s="6" t="s">
        <v>6</v>
      </c>
      <c r="C4" s="7">
        <v>2.5</v>
      </c>
      <c r="D4" s="8">
        <f>25.4*C4</f>
        <v>63.5</v>
      </c>
    </row>
    <row r="5" spans="2:4" s="3" customFormat="1" ht="15">
      <c r="B5" s="6" t="s">
        <v>7</v>
      </c>
      <c r="C5" s="7">
        <f>2+5/8</f>
        <v>2.625</v>
      </c>
      <c r="D5" s="8">
        <f>25.4*C5</f>
        <v>66.675</v>
      </c>
    </row>
    <row r="6" spans="2:4" s="3" customFormat="1" ht="15">
      <c r="B6" s="6" t="s">
        <v>8</v>
      </c>
      <c r="C6" s="7">
        <f>5+23/32</f>
        <v>5.71875</v>
      </c>
      <c r="D6" s="8">
        <f>25.4*C6</f>
        <v>145.25625</v>
      </c>
    </row>
    <row r="7" s="3" customFormat="1" ht="15"/>
    <row r="8" spans="1:5" s="3" customFormat="1" ht="15">
      <c r="A8" s="4" t="s">
        <v>9</v>
      </c>
      <c r="B8" s="9" t="s">
        <v>10</v>
      </c>
      <c r="C8" s="10"/>
      <c r="D8" s="10"/>
      <c r="E8" s="10"/>
    </row>
    <row r="9" spans="1:5" s="3" customFormat="1" ht="15">
      <c r="A9" s="4"/>
      <c r="B9" s="9" t="s">
        <v>126</v>
      </c>
      <c r="C9" s="10"/>
      <c r="D9" s="10"/>
      <c r="E9" s="10"/>
    </row>
    <row r="10" spans="1:5" s="3" customFormat="1" ht="15">
      <c r="A10" s="4"/>
      <c r="B10" s="10" t="s">
        <v>11</v>
      </c>
      <c r="C10" s="10"/>
      <c r="D10" s="10"/>
      <c r="E10" s="10"/>
    </row>
    <row r="11" spans="3:8" s="3" customFormat="1" ht="15">
      <c r="C11" s="11" t="s">
        <v>12</v>
      </c>
      <c r="D11" s="11"/>
      <c r="E11" s="11" t="s">
        <v>13</v>
      </c>
      <c r="F11" s="11" t="s">
        <v>14</v>
      </c>
      <c r="G11" s="11"/>
      <c r="H11" s="11" t="s">
        <v>15</v>
      </c>
    </row>
    <row r="12" spans="3:8" s="3" customFormat="1" ht="15">
      <c r="C12" s="11" t="s">
        <v>16</v>
      </c>
      <c r="E12" s="11" t="s">
        <v>17</v>
      </c>
      <c r="G12" s="3" t="s">
        <v>18</v>
      </c>
      <c r="H12" s="11"/>
    </row>
    <row r="13" spans="2:9" s="3" customFormat="1" ht="15">
      <c r="B13" s="10" t="s">
        <v>19</v>
      </c>
      <c r="C13" s="12" t="s">
        <v>20</v>
      </c>
      <c r="D13" s="13" t="s">
        <v>21</v>
      </c>
      <c r="E13" s="10" t="s">
        <v>22</v>
      </c>
      <c r="F13" s="10" t="s">
        <v>23</v>
      </c>
      <c r="G13" s="10" t="s">
        <v>24</v>
      </c>
      <c r="H13" s="14" t="s">
        <v>25</v>
      </c>
      <c r="I13" s="11" t="s">
        <v>26</v>
      </c>
    </row>
    <row r="14" spans="2:9" s="3" customFormat="1" ht="15">
      <c r="B14" s="3" t="s">
        <v>27</v>
      </c>
      <c r="C14" s="15">
        <v>2.5</v>
      </c>
      <c r="D14" s="16">
        <v>5.719</v>
      </c>
      <c r="E14" s="17">
        <f>I14/C14</f>
        <v>4.684049209593928</v>
      </c>
      <c r="F14" s="18">
        <f>I14/((C14+I14/C14)-I14/D14)</f>
        <v>2.2798011104540876</v>
      </c>
      <c r="G14" s="17">
        <f>2*C14*I14/(C14^2+I14)</f>
        <v>3.260034190285488</v>
      </c>
      <c r="H14" s="17">
        <f>SQRT(I14)</f>
        <v>3.4220057019217283</v>
      </c>
      <c r="I14" s="19">
        <f>C14^2*D14/(0.8284*C14+0.1716*D14)</f>
        <v>11.71012302398482</v>
      </c>
    </row>
    <row r="15" spans="2:9" s="3" customFormat="1" ht="15">
      <c r="B15" s="3" t="s">
        <v>28</v>
      </c>
      <c r="C15" s="15">
        <v>2.375</v>
      </c>
      <c r="D15" s="16">
        <v>5.719</v>
      </c>
      <c r="E15" s="17">
        <f>I15/C15</f>
        <v>4.606105864887991</v>
      </c>
      <c r="F15" s="18">
        <f>I15/((C15+I15/C15)-I15/D15)</f>
        <v>2.1584285824706155</v>
      </c>
      <c r="G15" s="17">
        <f>2*C15*I15/(C15^2+I15)</f>
        <v>3.1340310950246555</v>
      </c>
      <c r="H15" s="17">
        <f>SQRT(I15)</f>
        <v>3.3074917126289187</v>
      </c>
      <c r="I15" s="19">
        <f>C15^2*D15/(0.8284*C15+0.1716*D15)</f>
        <v>10.939501429108978</v>
      </c>
    </row>
    <row r="16" spans="2:9" s="3" customFormat="1" ht="15">
      <c r="B16" s="3" t="s">
        <v>29</v>
      </c>
      <c r="C16" s="20">
        <v>2.25</v>
      </c>
      <c r="D16" s="21">
        <v>5.719</v>
      </c>
      <c r="E16" s="17">
        <f>I16/C16</f>
        <v>4.522489242185059</v>
      </c>
      <c r="F16" s="18">
        <f>I16/((C16+I16/C16)-I16/D16)</f>
        <v>2.0378806744154097</v>
      </c>
      <c r="G16" s="17">
        <f>2*C16*I16/(C16^2+I16)</f>
        <v>3.0049810139331727</v>
      </c>
      <c r="H16" s="17">
        <f>SQRT(I16)</f>
        <v>3.189921753729452</v>
      </c>
      <c r="I16" s="19">
        <f>C16^2*D16/(0.8284*C16+0.1716*D16)</f>
        <v>10.175600794916383</v>
      </c>
    </row>
    <row r="17" spans="2:10" s="3" customFormat="1" ht="15">
      <c r="B17" s="11" t="s">
        <v>30</v>
      </c>
      <c r="E17" s="22"/>
      <c r="J17" s="27" t="s">
        <v>131</v>
      </c>
    </row>
    <row r="18" spans="1:10" s="3" customFormat="1" ht="15">
      <c r="A18" s="6" t="s">
        <v>129</v>
      </c>
      <c r="B18" s="6" t="s">
        <v>19</v>
      </c>
      <c r="C18" s="163" t="s">
        <v>20</v>
      </c>
      <c r="D18" s="23" t="s">
        <v>21</v>
      </c>
      <c r="E18" s="24" t="s">
        <v>22</v>
      </c>
      <c r="F18" s="163" t="s">
        <v>23</v>
      </c>
      <c r="G18" s="23" t="s">
        <v>24</v>
      </c>
      <c r="H18" s="25" t="s">
        <v>25</v>
      </c>
      <c r="I18" s="23" t="s">
        <v>31</v>
      </c>
      <c r="J18" s="165" t="s">
        <v>132</v>
      </c>
    </row>
    <row r="19" spans="1:10" s="3" customFormat="1" ht="15">
      <c r="A19" s="6" t="s">
        <v>32</v>
      </c>
      <c r="B19" s="6" t="s">
        <v>27</v>
      </c>
      <c r="C19" s="166">
        <f aca="true" t="shared" si="0" ref="C19:H21">25.4*C14</f>
        <v>63.5</v>
      </c>
      <c r="D19" s="26">
        <f t="shared" si="0"/>
        <v>145.2626</v>
      </c>
      <c r="E19" s="26">
        <f t="shared" si="0"/>
        <v>118.97484992368577</v>
      </c>
      <c r="F19" s="42">
        <f t="shared" si="0"/>
        <v>57.90694820553382</v>
      </c>
      <c r="G19" s="26">
        <f t="shared" si="0"/>
        <v>82.80486843325139</v>
      </c>
      <c r="H19" s="26">
        <f t="shared" si="0"/>
        <v>86.91894482881189</v>
      </c>
      <c r="I19" s="26">
        <f>25.4^2*I14</f>
        <v>7554.902970154047</v>
      </c>
      <c r="J19" s="165">
        <f>I19/D19</f>
        <v>52.0085897550646</v>
      </c>
    </row>
    <row r="20" spans="1:10" s="3" customFormat="1" ht="15">
      <c r="A20" s="6" t="s">
        <v>128</v>
      </c>
      <c r="B20" s="6" t="s">
        <v>28</v>
      </c>
      <c r="C20" s="166">
        <f t="shared" si="0"/>
        <v>60.324999999999996</v>
      </c>
      <c r="D20" s="26">
        <f t="shared" si="0"/>
        <v>145.2626</v>
      </c>
      <c r="E20" s="26">
        <f t="shared" si="0"/>
        <v>116.99508896815496</v>
      </c>
      <c r="F20" s="42">
        <f t="shared" si="0"/>
        <v>54.82408599475363</v>
      </c>
      <c r="G20" s="26">
        <f t="shared" si="0"/>
        <v>79.60438981362624</v>
      </c>
      <c r="H20" s="26">
        <f t="shared" si="0"/>
        <v>84.01028950077453</v>
      </c>
      <c r="I20" s="26">
        <f>25.4^2*I15</f>
        <v>7057.728742003947</v>
      </c>
      <c r="J20" s="165">
        <f>I20/D20</f>
        <v>48.58600040205771</v>
      </c>
    </row>
    <row r="21" spans="1:10" s="3" customFormat="1" ht="15">
      <c r="A21" s="6" t="s">
        <v>33</v>
      </c>
      <c r="B21" s="6" t="s">
        <v>29</v>
      </c>
      <c r="C21" s="166">
        <f t="shared" si="0"/>
        <v>57.15</v>
      </c>
      <c r="D21" s="26">
        <f t="shared" si="0"/>
        <v>145.2626</v>
      </c>
      <c r="E21" s="26">
        <f t="shared" si="0"/>
        <v>114.87122675150049</v>
      </c>
      <c r="F21" s="42">
        <f t="shared" si="0"/>
        <v>51.7621691301514</v>
      </c>
      <c r="G21" s="26">
        <f t="shared" si="0"/>
        <v>76.32651775390258</v>
      </c>
      <c r="H21" s="26">
        <f t="shared" si="0"/>
        <v>81.02401254472808</v>
      </c>
      <c r="I21" s="26">
        <f>25.4^2*I16</f>
        <v>6564.890608848254</v>
      </c>
      <c r="J21" s="165">
        <f>I21/D21</f>
        <v>45.193261093001595</v>
      </c>
    </row>
    <row r="22" spans="2:9" s="3" customFormat="1" ht="15">
      <c r="B22" s="10"/>
      <c r="C22" s="162"/>
      <c r="D22" s="162"/>
      <c r="E22" s="162"/>
      <c r="F22" s="18"/>
      <c r="G22" s="162"/>
      <c r="H22" s="162"/>
      <c r="I22" s="162"/>
    </row>
    <row r="23" s="3" customFormat="1" ht="15">
      <c r="B23" s="3" t="s">
        <v>127</v>
      </c>
    </row>
    <row r="24" s="3" customFormat="1" ht="15">
      <c r="B24" s="3" t="s">
        <v>120</v>
      </c>
    </row>
    <row r="25" s="3" customFormat="1" ht="15">
      <c r="B25" s="3" t="s">
        <v>124</v>
      </c>
    </row>
    <row r="26" s="3" customFormat="1" ht="15">
      <c r="B26" s="11" t="s">
        <v>125</v>
      </c>
    </row>
    <row r="27" s="3" customFormat="1" ht="15">
      <c r="B27" s="164" t="s">
        <v>139</v>
      </c>
    </row>
    <row r="28" s="3" customFormat="1" ht="15">
      <c r="B28" s="164" t="s">
        <v>130</v>
      </c>
    </row>
    <row r="29" s="3" customFormat="1" ht="15">
      <c r="B29" s="164" t="s">
        <v>140</v>
      </c>
    </row>
    <row r="30" s="3" customFormat="1" ht="15">
      <c r="B30" s="164" t="s">
        <v>141</v>
      </c>
    </row>
    <row r="31" s="3" customFormat="1" ht="15">
      <c r="B31" s="164" t="s">
        <v>133</v>
      </c>
    </row>
    <row r="32" s="3" customFormat="1" ht="15">
      <c r="B32" s="164" t="s">
        <v>142</v>
      </c>
    </row>
    <row r="33" spans="2:3" s="3" customFormat="1" ht="15">
      <c r="B33" s="164"/>
      <c r="C33" s="164" t="s">
        <v>136</v>
      </c>
    </row>
    <row r="34" spans="2:3" s="3" customFormat="1" ht="15">
      <c r="B34" s="164"/>
      <c r="C34" s="164" t="s">
        <v>137</v>
      </c>
    </row>
    <row r="35" s="3" customFormat="1" ht="15">
      <c r="B35" s="164" t="s">
        <v>138</v>
      </c>
    </row>
    <row r="36" s="3" customFormat="1" ht="15">
      <c r="B36" s="164" t="s">
        <v>135</v>
      </c>
    </row>
    <row r="37" s="3" customFormat="1" ht="15">
      <c r="B37" s="28" t="s">
        <v>134</v>
      </c>
    </row>
    <row r="38" s="3" customFormat="1" ht="15">
      <c r="B38" s="28" t="s">
        <v>34</v>
      </c>
    </row>
    <row r="39" s="3" customFormat="1" ht="15">
      <c r="B39" s="11" t="s">
        <v>35</v>
      </c>
    </row>
    <row r="40" spans="2:4" s="3" customFormat="1" ht="15">
      <c r="B40" s="11" t="s">
        <v>36</v>
      </c>
      <c r="C40" s="29">
        <v>230</v>
      </c>
      <c r="D40" s="3" t="s">
        <v>37</v>
      </c>
    </row>
    <row r="41" spans="2:3" s="3" customFormat="1" ht="15">
      <c r="B41" s="11"/>
      <c r="C41" s="3" t="s">
        <v>38</v>
      </c>
    </row>
    <row r="42" spans="2:3" s="3" customFormat="1" ht="15">
      <c r="B42" s="11"/>
      <c r="C42" s="11" t="s">
        <v>39</v>
      </c>
    </row>
    <row r="43" spans="2:9" s="3" customFormat="1" ht="15">
      <c r="B43" s="11"/>
      <c r="C43" s="3" t="s">
        <v>40</v>
      </c>
      <c r="I43" s="3" t="s">
        <v>41</v>
      </c>
    </row>
    <row r="44" spans="2:9" s="3" customFormat="1" ht="15">
      <c r="B44" s="11"/>
      <c r="C44" s="3" t="s">
        <v>42</v>
      </c>
      <c r="E44" s="3" t="s">
        <v>43</v>
      </c>
      <c r="I44" s="3" t="s">
        <v>44</v>
      </c>
    </row>
    <row r="45" spans="3:9" s="3" customFormat="1" ht="15">
      <c r="C45" s="3" t="s">
        <v>45</v>
      </c>
      <c r="E45" s="3" t="s">
        <v>46</v>
      </c>
      <c r="G45" s="3" t="s">
        <v>47</v>
      </c>
      <c r="I45" s="3" t="s">
        <v>48</v>
      </c>
    </row>
    <row r="46" spans="3:10" s="3" customFormat="1" ht="15">
      <c r="C46" s="30" t="s">
        <v>49</v>
      </c>
      <c r="D46" s="31"/>
      <c r="E46" s="30" t="s">
        <v>50</v>
      </c>
      <c r="F46" s="31"/>
      <c r="G46" s="32" t="s">
        <v>51</v>
      </c>
      <c r="H46" s="32"/>
      <c r="I46" s="6" t="s">
        <v>52</v>
      </c>
      <c r="J46" s="6" t="s">
        <v>53</v>
      </c>
    </row>
    <row r="47" spans="2:11" s="3" customFormat="1" ht="15">
      <c r="B47" s="30" t="s">
        <v>27</v>
      </c>
      <c r="C47" s="33">
        <f>SQRT($C$40^2-I19)</f>
        <v>212.94388234895584</v>
      </c>
      <c r="D47" s="34"/>
      <c r="E47" s="33">
        <f>$C$40-SQRT($C$40^2-I19)</f>
        <v>17.05611765104416</v>
      </c>
      <c r="F47" s="31"/>
      <c r="G47" s="35">
        <f>ASIN(I19/(G19*$C$40))*180/PI()</f>
        <v>23.371070776275015</v>
      </c>
      <c r="H47" s="35"/>
      <c r="I47" s="36">
        <f>$C$40*SIN(G47*PI()/180)</f>
        <v>91.23742496184289</v>
      </c>
      <c r="J47" s="36">
        <f>2*I47/25.4</f>
        <v>7.184049209593929</v>
      </c>
      <c r="K47" s="37"/>
    </row>
    <row r="48" spans="2:11" s="3" customFormat="1" ht="15">
      <c r="B48" s="30" t="s">
        <v>54</v>
      </c>
      <c r="C48" s="33">
        <f>SQRT($C$40^2-I20)</f>
        <v>214.1080831215768</v>
      </c>
      <c r="D48" s="31"/>
      <c r="E48" s="38">
        <f>$C$40-SQRT($C$40^2-I20)</f>
        <v>15.891916878423189</v>
      </c>
      <c r="F48" s="31"/>
      <c r="G48" s="35">
        <f>ASIN(I20/(G20*$C$40))*180/PI()</f>
        <v>22.673446498258564</v>
      </c>
      <c r="H48" s="35"/>
      <c r="I48" s="39">
        <f>$C$40*SIN(G48*PI()/180)</f>
        <v>88.66004448407749</v>
      </c>
      <c r="J48" s="36">
        <f>2*I48/25.4</f>
        <v>6.981105864887992</v>
      </c>
      <c r="K48" s="37"/>
    </row>
    <row r="49" spans="2:11" s="3" customFormat="1" ht="15">
      <c r="B49" s="30" t="s">
        <v>55</v>
      </c>
      <c r="C49" s="33">
        <f>SQRT($C$40^2-I21)</f>
        <v>215.25591604216538</v>
      </c>
      <c r="D49" s="40"/>
      <c r="E49" s="33">
        <f>$C$40-SQRT($C$40^2-I21)</f>
        <v>14.744083957834619</v>
      </c>
      <c r="F49" s="40"/>
      <c r="G49" s="35">
        <f>ASIN(I21/(G21*$C$40))*180/PI()</f>
        <v>21.959998940655343</v>
      </c>
      <c r="H49" s="41"/>
      <c r="I49" s="36">
        <f>$C$40*SIN(G49*PI()/180)</f>
        <v>86.01061337575025</v>
      </c>
      <c r="J49" s="36">
        <f>2*I49/25.4</f>
        <v>6.77248924218506</v>
      </c>
      <c r="K49" s="37"/>
    </row>
    <row r="50" spans="2:11" s="3" customFormat="1" ht="15">
      <c r="B50" s="3" t="s">
        <v>56</v>
      </c>
      <c r="F50" s="10"/>
      <c r="G50" s="14"/>
      <c r="H50" s="10"/>
      <c r="I50" s="14"/>
      <c r="K50" s="37"/>
    </row>
    <row r="51" spans="3:11" s="3" customFormat="1" ht="15">
      <c r="C51" s="18"/>
      <c r="F51" s="10"/>
      <c r="G51" s="14"/>
      <c r="H51" s="10"/>
      <c r="I51" s="14"/>
      <c r="K51" s="37"/>
    </row>
    <row r="52" spans="2:7" s="3" customFormat="1" ht="15">
      <c r="B52" s="10" t="s">
        <v>57</v>
      </c>
      <c r="C52" s="18"/>
      <c r="E52" s="6" t="s">
        <v>58</v>
      </c>
      <c r="F52" s="6" t="s">
        <v>58</v>
      </c>
      <c r="G52" s="6" t="s">
        <v>58</v>
      </c>
    </row>
    <row r="53" spans="3:7" s="3" customFormat="1" ht="15">
      <c r="C53" s="18" t="s">
        <v>59</v>
      </c>
      <c r="D53" s="10"/>
      <c r="E53" s="29">
        <v>60.325</v>
      </c>
      <c r="F53" s="29">
        <v>63.5</v>
      </c>
      <c r="G53" s="29">
        <v>59.6</v>
      </c>
    </row>
    <row r="54" spans="2:7" s="3" customFormat="1" ht="15">
      <c r="B54" s="10"/>
      <c r="C54" s="18" t="s">
        <v>60</v>
      </c>
      <c r="D54" s="10"/>
      <c r="E54" s="29">
        <v>146.05</v>
      </c>
      <c r="F54" s="29">
        <v>146.3</v>
      </c>
      <c r="G54" s="29">
        <v>146.3</v>
      </c>
    </row>
    <row r="55" spans="2:7" s="3" customFormat="1" ht="15">
      <c r="B55" s="3" t="s">
        <v>61</v>
      </c>
      <c r="D55" s="10"/>
      <c r="E55" s="8">
        <f>E53^2*E54*(5.828*E54-4.828*E53)/(E54^2+4*E53*E54-4*E53^2)</f>
        <v>7082.963803674423</v>
      </c>
      <c r="F55" s="8">
        <f>F53^2*F54*(5.828*F54-4.828*F53)/(F54^2+4*F53*F54-4*F53^2)</f>
        <v>7591.153759828765</v>
      </c>
      <c r="G55" s="8">
        <f>G53^2*G54*(5.828*G54-4.828*G53)/(G54^2+4*G53*G54-4*G53^2)</f>
        <v>6977.433667618445</v>
      </c>
    </row>
    <row r="56" spans="2:7" s="3" customFormat="1" ht="15">
      <c r="B56" s="3" t="s">
        <v>62</v>
      </c>
      <c r="E56" s="42">
        <f>(E53^2+E55)/(2*E53)</f>
        <v>88.86920371880996</v>
      </c>
      <c r="F56" s="42">
        <f>(F53^2+F55)/(2*F53)</f>
        <v>91.5228642506202</v>
      </c>
      <c r="G56" s="42">
        <f>(G53^2+G55)/(2*G53)</f>
        <v>88.33551734579233</v>
      </c>
    </row>
    <row r="57" spans="2:11" s="3" customFormat="1" ht="15">
      <c r="B57" s="9" t="s">
        <v>63</v>
      </c>
      <c r="E57" s="43"/>
      <c r="F57" s="44"/>
      <c r="G57" s="43"/>
      <c r="H57" s="44"/>
      <c r="I57" s="43"/>
      <c r="J57" s="45"/>
      <c r="K57" s="46"/>
    </row>
    <row r="58" spans="2:7" s="3" customFormat="1" ht="15">
      <c r="B58" s="3" t="s">
        <v>64</v>
      </c>
      <c r="D58" s="3">
        <f>E53^2*E54*(5.828*E54-4.828*E53)/(E54^2+4*E53*E54-4*E53^2)</f>
        <v>7082.963803674423</v>
      </c>
      <c r="E58" s="3" t="s">
        <v>65</v>
      </c>
      <c r="F58" s="3">
        <f>E53^2*E54/(0.8284*E53+0.1716*E54)</f>
        <v>7083.207468730431</v>
      </c>
      <c r="G58" s="3" t="s">
        <v>66</v>
      </c>
    </row>
    <row r="59" spans="2:8" s="3" customFormat="1" ht="15">
      <c r="B59" s="11" t="s">
        <v>67</v>
      </c>
      <c r="D59" s="3" t="s">
        <v>68</v>
      </c>
      <c r="E59" s="3" t="s">
        <v>69</v>
      </c>
      <c r="G59" s="3" t="s">
        <v>70</v>
      </c>
      <c r="H59" s="3" t="s">
        <v>71</v>
      </c>
    </row>
    <row r="60" spans="4:7" s="3" customFormat="1" ht="15">
      <c r="D60" s="3" t="s">
        <v>72</v>
      </c>
      <c r="E60" s="3">
        <f>2*E53/E54^2-2/E54-1/(2*E53)</f>
        <v>-0.016326185274000236</v>
      </c>
      <c r="F60" s="3">
        <f>2*F53/F54^2-2/F54-1/(2*F53)</f>
        <v>-0.015610999417669769</v>
      </c>
      <c r="G60" s="3">
        <f>2*G53/G54^2-2/G54-1/(2*G53)</f>
        <v>-0.01649066855846449</v>
      </c>
    </row>
    <row r="61" spans="4:7" s="3" customFormat="1" ht="15">
      <c r="D61" s="3" t="s">
        <v>73</v>
      </c>
      <c r="E61" s="3">
        <f>3*E53-2*E53^2/E54</f>
        <v>131.14130434782612</v>
      </c>
      <c r="F61" s="3">
        <f>3*F53-2*F53^2/F54</f>
        <v>135.37696514012305</v>
      </c>
      <c r="G61" s="3">
        <f>3*G53-2*G53^2/G54</f>
        <v>130.24005468215995</v>
      </c>
    </row>
    <row r="62" spans="4:7" s="3" customFormat="1" ht="15">
      <c r="D62" s="3" t="s">
        <v>74</v>
      </c>
      <c r="E62" s="3">
        <f>E53^3/-2</f>
        <v>-109764.52341406251</v>
      </c>
      <c r="F62" s="3">
        <f>F53^3/-2</f>
        <v>-128023.9375</v>
      </c>
      <c r="G62" s="3">
        <f>G53^3/-2</f>
        <v>-105854.36800000002</v>
      </c>
    </row>
    <row r="63" spans="4:10" s="3" customFormat="1" ht="15">
      <c r="D63" s="11" t="s">
        <v>75</v>
      </c>
      <c r="E63" s="47">
        <f>(-E61-SQRT(E61^2-4*E60*E62))/(2*E60)</f>
        <v>7083.426976723015</v>
      </c>
      <c r="F63" s="47">
        <f>(-F61-SQRT(F61^2-4*F60*F62))/(2*F60)</f>
        <v>7591.645407251057</v>
      </c>
      <c r="G63" s="47">
        <f>(-G61-SQRT(G61^2-4*G60*G62))/(2*G60)</f>
        <v>6977.891079568118</v>
      </c>
      <c r="H63" s="3" t="s">
        <v>76</v>
      </c>
      <c r="I63" s="11"/>
      <c r="J63" s="11"/>
    </row>
    <row r="64" spans="4:7" s="3" customFormat="1" ht="15">
      <c r="D64" s="11" t="s">
        <v>77</v>
      </c>
      <c r="E64" s="48">
        <f>(E53^2+E63)/(2*E53)</f>
        <v>88.87304269973488</v>
      </c>
      <c r="F64" s="48">
        <f>(F53^2+F63)/(2*F53)</f>
        <v>91.5267354901658</v>
      </c>
      <c r="G64" s="48">
        <f>(G53^2+G63)/(2*G53)</f>
        <v>88.33935469436341</v>
      </c>
    </row>
    <row r="65" spans="4:7" s="3" customFormat="1" ht="15">
      <c r="D65" s="4" t="s">
        <v>78</v>
      </c>
      <c r="E65" s="49">
        <f>(E64-E56)/E64</f>
        <v>4.319623598232838E-05</v>
      </c>
      <c r="F65" s="49">
        <f>(F64-F56)/F64</f>
        <v>4.2296270317857436E-05</v>
      </c>
      <c r="G65" s="49">
        <f>(G64-G56)/G64</f>
        <v>4.34387208776717E-05</v>
      </c>
    </row>
    <row r="66" spans="4:7" s="3" customFormat="1" ht="15">
      <c r="D66" s="4"/>
      <c r="E66" s="49"/>
      <c r="F66" s="49"/>
      <c r="G66" s="49"/>
    </row>
    <row r="67" spans="3:8" s="3" customFormat="1" ht="15">
      <c r="C67" s="30" t="s">
        <v>79</v>
      </c>
      <c r="D67" s="50"/>
      <c r="E67" s="51"/>
      <c r="F67" s="10" t="s">
        <v>80</v>
      </c>
      <c r="G67" s="52"/>
      <c r="H67" s="52"/>
    </row>
    <row r="68" spans="3:8" s="3" customFormat="1" ht="15">
      <c r="C68" s="10"/>
      <c r="D68" s="52"/>
      <c r="E68" s="52"/>
      <c r="F68" s="10" t="s">
        <v>81</v>
      </c>
      <c r="G68" s="52"/>
      <c r="H68" s="52"/>
    </row>
    <row r="69" spans="3:14" s="3" customFormat="1" ht="15.75" thickBot="1">
      <c r="C69" s="53" t="s">
        <v>82</v>
      </c>
      <c r="D69" s="53" t="s">
        <v>82</v>
      </c>
      <c r="E69" s="53" t="s">
        <v>82</v>
      </c>
      <c r="F69" s="53" t="s">
        <v>82</v>
      </c>
      <c r="G69" s="53" t="s">
        <v>82</v>
      </c>
      <c r="H69" s="53" t="s">
        <v>82</v>
      </c>
      <c r="I69" s="53" t="s">
        <v>82</v>
      </c>
      <c r="J69" s="53" t="s">
        <v>82</v>
      </c>
      <c r="K69" s="53" t="s">
        <v>82</v>
      </c>
      <c r="L69" s="53" t="s">
        <v>82</v>
      </c>
      <c r="M69" s="53" t="s">
        <v>82</v>
      </c>
      <c r="N69" s="53" t="s">
        <v>82</v>
      </c>
    </row>
    <row r="70" spans="1:9" s="3" customFormat="1" ht="15">
      <c r="A70" s="1" t="s">
        <v>83</v>
      </c>
      <c r="B70" s="54"/>
      <c r="F70" s="55" t="s">
        <v>84</v>
      </c>
      <c r="G70" s="56"/>
      <c r="H70" s="57">
        <v>60.325</v>
      </c>
      <c r="I70" s="2" t="s">
        <v>85</v>
      </c>
    </row>
    <row r="71" spans="2:10" s="3" customFormat="1" ht="15">
      <c r="B71" s="2"/>
      <c r="F71" s="58" t="s">
        <v>86</v>
      </c>
      <c r="G71" s="59"/>
      <c r="H71" s="60">
        <v>146.05</v>
      </c>
      <c r="I71" s="2" t="s">
        <v>85</v>
      </c>
      <c r="J71" s="2"/>
    </row>
    <row r="72" spans="1:14" s="3" customFormat="1" ht="15">
      <c r="A72" s="61" t="s">
        <v>87</v>
      </c>
      <c r="B72" s="62" t="s">
        <v>88</v>
      </c>
      <c r="C72" s="62" t="s">
        <v>89</v>
      </c>
      <c r="D72" s="62" t="s">
        <v>90</v>
      </c>
      <c r="E72" s="63" t="s">
        <v>91</v>
      </c>
      <c r="F72" s="64" t="s">
        <v>92</v>
      </c>
      <c r="G72" s="65" t="s">
        <v>92</v>
      </c>
      <c r="H72" s="66" t="s">
        <v>93</v>
      </c>
      <c r="I72" s="67" t="s">
        <v>94</v>
      </c>
      <c r="J72" s="67" t="s">
        <v>95</v>
      </c>
      <c r="K72" s="67" t="s">
        <v>96</v>
      </c>
      <c r="L72" s="67" t="s">
        <v>97</v>
      </c>
      <c r="M72" s="67" t="s">
        <v>98</v>
      </c>
      <c r="N72" s="67" t="s">
        <v>0</v>
      </c>
    </row>
    <row r="73" spans="1:14" s="3" customFormat="1" ht="15.75" thickBot="1">
      <c r="A73" s="68" t="s">
        <v>99</v>
      </c>
      <c r="B73" s="69">
        <v>230</v>
      </c>
      <c r="C73" s="70">
        <f>B73-E73</f>
        <v>15.951937640164545</v>
      </c>
      <c r="D73" s="71">
        <f>ASIN(H73/B73)*180/PI()</f>
        <v>22.730963184720096</v>
      </c>
      <c r="E73" s="72">
        <f>SQRT(B73^2-J73)</f>
        <v>214.04806235983546</v>
      </c>
      <c r="F73" s="73">
        <f>H70</f>
        <v>60.325</v>
      </c>
      <c r="G73" s="74">
        <f>B73*SIN(RADIANS(D73))+SQRT((B73*SIN(RADIANS(D73)))^2-(B73^2-E73^2))</f>
        <v>117.4210857853297</v>
      </c>
      <c r="H73" s="75">
        <f>(H70^2+J73)/(2*H70)</f>
        <v>88.87304289266473</v>
      </c>
      <c r="I73" s="76">
        <f>2*F73*G73/(F73+G73)</f>
        <v>79.70276215876757</v>
      </c>
      <c r="J73" s="77">
        <v>7083.427</v>
      </c>
      <c r="K73" s="19">
        <f>SQRT(J73)</f>
        <v>84.16309761409688</v>
      </c>
      <c r="L73" s="78">
        <f>J73/H71</f>
        <v>48.500013693940424</v>
      </c>
      <c r="M73" s="79">
        <f>J73/L73</f>
        <v>146.05</v>
      </c>
      <c r="N73" s="80">
        <f>J73/((F73+J73/F73)-J73/H71)</f>
        <v>54.80574291643738</v>
      </c>
    </row>
    <row r="74" spans="1:14" s="3" customFormat="1" ht="15">
      <c r="A74" s="68" t="s">
        <v>100</v>
      </c>
      <c r="B74" s="81">
        <f>B73</f>
        <v>230</v>
      </c>
      <c r="C74" s="70">
        <f>B74-E74</f>
        <v>18.053311467362704</v>
      </c>
      <c r="D74" s="71">
        <f>ASIN(H74/B74)*180/PI()</f>
        <v>23.971461856296553</v>
      </c>
      <c r="E74" s="72">
        <f>SQRT((G74*(B74^2+F74^2)-F74*(B74^2+G74^2))/(G74-F74))</f>
        <v>211.9466885326373</v>
      </c>
      <c r="F74" s="82">
        <f>2*H70*H71/((1+1/SQRT(2))*H71+(1-1/SQRT(2))*H70)</f>
        <v>65.99804637417564</v>
      </c>
      <c r="G74" s="83">
        <f>2*H70*H71/((1-1/SQRT(2))*H71+(1+1/SQRT(2))*H70)</f>
        <v>120.89147570845614</v>
      </c>
      <c r="H74" s="84">
        <f>(F74+G74)/2</f>
        <v>93.4447610413159</v>
      </c>
      <c r="I74" s="76">
        <f>2*F74*G74/(F74+G74)</f>
        <v>85.38307692307691</v>
      </c>
      <c r="J74" s="85">
        <f>I74*F74^2/(2*F74-I74)</f>
        <v>7978.601220049213</v>
      </c>
      <c r="K74" s="19">
        <f>SQRT(J74)</f>
        <v>89.32301618311605</v>
      </c>
      <c r="L74" s="78">
        <f>J74/H71</f>
        <v>54.62924491646157</v>
      </c>
      <c r="M74" s="79">
        <f>J74/L74</f>
        <v>146.05</v>
      </c>
      <c r="N74" s="86">
        <f>J74/((F74+J74/F74)-J74/H71)</f>
        <v>60.32499999999998</v>
      </c>
    </row>
    <row r="75" spans="1:14" s="3" customFormat="1" ht="15.75" thickBot="1">
      <c r="A75" s="68" t="s">
        <v>101</v>
      </c>
      <c r="B75" s="81">
        <f>B73</f>
        <v>230</v>
      </c>
      <c r="C75" s="70">
        <f>B75-E75</f>
        <v>18.565769838217363</v>
      </c>
      <c r="D75" s="71">
        <f>ASIN(H75/B75)*180/PI()</f>
        <v>23.971461856296553</v>
      </c>
      <c r="E75" s="72">
        <f>SQRT((G75*(B75^2+F75^2)-F75*(B75^2+G75^2))/(G75-F75))</f>
        <v>211.43423016178264</v>
      </c>
      <c r="F75" s="87">
        <f>H75-SQRT(H75^2-((3*H70*H71*(H75*(H70+H71)-H70*H71)))/(H70^2+H70*H71+H71^2))</f>
        <v>70.28537741017632</v>
      </c>
      <c r="G75" s="88">
        <f>H75+SQRT(H75^2-((3*H70*H71*(H75*(H70+H71)-H70*H71)))/(H70^2+H70*H71+H71^2))</f>
        <v>116.60414467245548</v>
      </c>
      <c r="H75" s="89">
        <f>H74</f>
        <v>93.4447610413159</v>
      </c>
      <c r="I75" s="76">
        <f>2*F75*G75/(F75+G75)</f>
        <v>87.70493096205496</v>
      </c>
      <c r="J75" s="90">
        <f>I75*F75^2/(2*F75-I75)</f>
        <v>8195.566315894333</v>
      </c>
      <c r="K75" s="19">
        <f>SQRT(J75)</f>
        <v>90.52936714621578</v>
      </c>
      <c r="L75" s="78">
        <f>J75/H71</f>
        <v>56.11479846555517</v>
      </c>
      <c r="M75" s="79">
        <f>J75/L75</f>
        <v>146.05</v>
      </c>
      <c r="N75" s="91">
        <f>J75/((F75+J75/F75)-J75/H71)</f>
        <v>62.669345338414864</v>
      </c>
    </row>
    <row r="76" spans="1:14" s="3" customFormat="1" ht="15">
      <c r="A76" s="92" t="s">
        <v>102</v>
      </c>
      <c r="B76" s="93" t="s">
        <v>103</v>
      </c>
      <c r="C76" s="92"/>
      <c r="D76" s="92"/>
      <c r="E76" s="92"/>
      <c r="F76" s="94"/>
      <c r="G76" s="93"/>
      <c r="H76" s="2"/>
      <c r="I76" s="95"/>
      <c r="J76" s="95"/>
      <c r="K76" s="96"/>
      <c r="L76" s="96"/>
      <c r="N76" s="46"/>
    </row>
    <row r="77" spans="1:14" s="3" customFormat="1" ht="15">
      <c r="A77" s="92"/>
      <c r="B77" s="92" t="s">
        <v>104</v>
      </c>
      <c r="C77" s="92"/>
      <c r="D77" s="92"/>
      <c r="E77" s="92"/>
      <c r="F77" s="94"/>
      <c r="G77" s="93"/>
      <c r="H77" s="2"/>
      <c r="I77" s="95"/>
      <c r="K77" s="96"/>
      <c r="L77" s="96"/>
      <c r="M77" s="96"/>
      <c r="N77" s="46"/>
    </row>
    <row r="78" spans="1:14" s="3" customFormat="1" ht="15.75" thickBot="1">
      <c r="A78" s="92"/>
      <c r="B78" s="92" t="s">
        <v>118</v>
      </c>
      <c r="C78" s="92"/>
      <c r="D78" s="92"/>
      <c r="E78" s="92"/>
      <c r="F78" s="94"/>
      <c r="G78" s="97"/>
      <c r="H78" s="52"/>
      <c r="I78" s="95"/>
      <c r="K78" s="96"/>
      <c r="L78" s="96"/>
      <c r="M78" s="96"/>
      <c r="N78" s="46"/>
    </row>
    <row r="79" spans="1:14" s="3" customFormat="1" ht="15">
      <c r="A79" s="1" t="s">
        <v>105</v>
      </c>
      <c r="B79" s="93"/>
      <c r="C79" s="92"/>
      <c r="D79" s="92"/>
      <c r="E79" s="92"/>
      <c r="F79" s="98" t="s">
        <v>84</v>
      </c>
      <c r="G79" s="99"/>
      <c r="H79" s="100">
        <v>59.6</v>
      </c>
      <c r="I79" s="101"/>
      <c r="J79" s="3" t="s">
        <v>107</v>
      </c>
      <c r="K79" s="96"/>
      <c r="L79" s="96"/>
      <c r="M79" s="96"/>
      <c r="N79" s="46"/>
    </row>
    <row r="80" spans="2:14" s="3" customFormat="1" ht="15">
      <c r="B80" s="2"/>
      <c r="C80" s="2"/>
      <c r="D80" s="2"/>
      <c r="E80" s="2"/>
      <c r="F80" s="102" t="s">
        <v>86</v>
      </c>
      <c r="G80" s="103"/>
      <c r="H80" s="104">
        <v>146.3</v>
      </c>
      <c r="I80" s="95"/>
      <c r="K80" s="96"/>
      <c r="L80" s="96"/>
      <c r="M80" s="96"/>
      <c r="N80" s="46"/>
    </row>
    <row r="81" spans="1:14" s="3" customFormat="1" ht="15">
      <c r="A81" s="61" t="s">
        <v>87</v>
      </c>
      <c r="B81" s="62" t="s">
        <v>88</v>
      </c>
      <c r="C81" s="62" t="s">
        <v>89</v>
      </c>
      <c r="D81" s="62" t="s">
        <v>90</v>
      </c>
      <c r="E81" s="63" t="s">
        <v>91</v>
      </c>
      <c r="F81" s="64" t="s">
        <v>92</v>
      </c>
      <c r="G81" s="65" t="s">
        <v>92</v>
      </c>
      <c r="H81" s="66" t="s">
        <v>93</v>
      </c>
      <c r="I81" s="67" t="s">
        <v>94</v>
      </c>
      <c r="J81" s="67" t="s">
        <v>95</v>
      </c>
      <c r="K81" s="67" t="s">
        <v>96</v>
      </c>
      <c r="L81" s="105" t="s">
        <v>97</v>
      </c>
      <c r="M81" s="105" t="s">
        <v>98</v>
      </c>
      <c r="N81" s="105" t="s">
        <v>0</v>
      </c>
    </row>
    <row r="82" spans="1:14" s="3" customFormat="1" ht="15.75" thickBot="1">
      <c r="A82" s="68" t="s">
        <v>99</v>
      </c>
      <c r="B82" s="81">
        <f>B73</f>
        <v>230</v>
      </c>
      <c r="C82" s="70">
        <f>B82-E82</f>
        <v>15.705555601644221</v>
      </c>
      <c r="D82" s="70">
        <f>ASIN(H82/B82)*180/PI()</f>
        <v>22.58689503758802</v>
      </c>
      <c r="E82" s="72">
        <f>SQRT(B82^2-J82)</f>
        <v>214.29444439835578</v>
      </c>
      <c r="F82" s="106">
        <f>H79</f>
        <v>59.6</v>
      </c>
      <c r="G82" s="107">
        <f>B82*SIN(RADIANS(D82))+SQRT((B82*SIN(RADIANS(D82)))^2-(B82^2-E82^2))</f>
        <v>117.07870973154354</v>
      </c>
      <c r="H82" s="108">
        <f>(H79^2+J82)/(2*H79)</f>
        <v>88.33935486577181</v>
      </c>
      <c r="I82" s="76">
        <f>2*F82*G82/(F82+G82)</f>
        <v>78.98960899819373</v>
      </c>
      <c r="J82" s="77">
        <v>6977.8911</v>
      </c>
      <c r="K82" s="19">
        <f>SQRT(J82)</f>
        <v>83.5337722122017</v>
      </c>
      <c r="L82" s="109">
        <f>J82/H80</f>
        <v>47.69576965140123</v>
      </c>
      <c r="M82" s="110">
        <f>J82/L82</f>
        <v>146.3</v>
      </c>
      <c r="N82" s="111">
        <f>J82/((F82+J82/F82)-J82/H80)</f>
        <v>54.09933356817847</v>
      </c>
    </row>
    <row r="83" spans="1:14" s="3" customFormat="1" ht="15">
      <c r="A83" s="68" t="s">
        <v>100</v>
      </c>
      <c r="B83" s="81">
        <f>B73</f>
        <v>230</v>
      </c>
      <c r="C83" s="70">
        <f>B83-E83</f>
        <v>17.80026316270974</v>
      </c>
      <c r="D83" s="70">
        <f>ASIN(H83/B83)*180/PI()</f>
        <v>23.832641637250898</v>
      </c>
      <c r="E83" s="72">
        <f>SQRT((G83*(B83^2+F83^2)-F83*(B83^2+G83^2))/(G83-F83))</f>
        <v>212.19973683729026</v>
      </c>
      <c r="F83" s="112">
        <f>2*H80*H79/((1+1/SQRT(2))*H80+(1-1/SQRT(2))*H79)</f>
        <v>65.26406477743674</v>
      </c>
      <c r="G83" s="113">
        <f>2*H80*H79/((1-1/SQRT(2))*H80+(1+1/SQRT(2))*H79)</f>
        <v>120.60651926948384</v>
      </c>
      <c r="H83" s="114">
        <f>(F83+G83)/2</f>
        <v>92.93529202346029</v>
      </c>
      <c r="I83" s="76">
        <f>2*F83*G83/(F83+G83)</f>
        <v>84.69626032054397</v>
      </c>
      <c r="J83" s="85">
        <f>I83*F83^2/(2*F83-I83)</f>
        <v>7871.271686184766</v>
      </c>
      <c r="K83" s="19">
        <f>SQRT(J83)</f>
        <v>88.7201875910143</v>
      </c>
      <c r="L83" s="109">
        <f>J83/H80</f>
        <v>53.802267164625874</v>
      </c>
      <c r="M83" s="110">
        <f>J83/L83</f>
        <v>146.3</v>
      </c>
      <c r="N83" s="115">
        <f>J83/((F83+J83/F83)-J83/H80)</f>
        <v>59.60000000000002</v>
      </c>
    </row>
    <row r="84" spans="1:14" s="3" customFormat="1" ht="15.75" thickBot="1">
      <c r="A84" s="68" t="s">
        <v>101</v>
      </c>
      <c r="B84" s="81">
        <f>B73</f>
        <v>230</v>
      </c>
      <c r="C84" s="70">
        <f>B84-E84</f>
        <v>18.318391023712763</v>
      </c>
      <c r="D84" s="70">
        <f>ASIN(H84/B84)*180/PI()</f>
        <v>23.832641637250898</v>
      </c>
      <c r="E84" s="72">
        <f>SQRT((G84*(B84^2+F84^2)-F84*(B84^2+G84^2))/(G84-F84))</f>
        <v>211.68160897628724</v>
      </c>
      <c r="F84" s="116">
        <f>H84-SQRT(H84^2-((3*H80*H79*(H84*(H80+H79)-H80*H79)))/(H80^2+H80*H79+H79^2))</f>
        <v>69.56710676495987</v>
      </c>
      <c r="G84" s="117">
        <f>H84+SQRT(H84^2-((3*H79*H80*(H84*(H79+H80)-H79*H80)))/(H79^2+H79*H80+H80^2))</f>
        <v>116.3034772819607</v>
      </c>
      <c r="H84" s="118">
        <f>H83</f>
        <v>92.93529202346029</v>
      </c>
      <c r="I84" s="76">
        <f>2*F84*G84/(F84+G84)</f>
        <v>87.05946088992549</v>
      </c>
      <c r="J84" s="90">
        <f>I84*F84^2/(2*F84-I84)</f>
        <v>8090.896421210245</v>
      </c>
      <c r="K84" s="19">
        <f>SQRT(J84)</f>
        <v>89.94941034387188</v>
      </c>
      <c r="L84" s="109">
        <f>J84/H80</f>
        <v>55.30346152570228</v>
      </c>
      <c r="M84" s="110">
        <f>J84/L84</f>
        <v>146.3</v>
      </c>
      <c r="N84" s="119">
        <f>J84/((F84+J84/F84)-J84/H80)</f>
        <v>61.96733346785218</v>
      </c>
    </row>
    <row r="85" spans="1:14" s="3" customFormat="1" ht="15.75" thickBot="1">
      <c r="A85" s="92"/>
      <c r="B85" s="92"/>
      <c r="C85" s="92"/>
      <c r="D85" s="92"/>
      <c r="E85" s="92"/>
      <c r="F85" s="120"/>
      <c r="G85" s="121"/>
      <c r="H85" s="122"/>
      <c r="I85" s="95"/>
      <c r="J85" s="101"/>
      <c r="K85" s="96"/>
      <c r="L85" s="96"/>
      <c r="M85" s="123"/>
      <c r="N85" s="46"/>
    </row>
    <row r="86" spans="1:14" s="3" customFormat="1" ht="15">
      <c r="A86" s="1" t="s">
        <v>108</v>
      </c>
      <c r="B86" s="93"/>
      <c r="C86" s="92"/>
      <c r="D86" s="92"/>
      <c r="E86" s="92"/>
      <c r="F86" s="124" t="s">
        <v>84</v>
      </c>
      <c r="G86" s="125"/>
      <c r="H86" s="126">
        <v>63.5</v>
      </c>
      <c r="I86" s="101" t="s">
        <v>106</v>
      </c>
      <c r="J86" s="101" t="s">
        <v>119</v>
      </c>
      <c r="K86" s="96"/>
      <c r="L86" s="96"/>
      <c r="M86" s="127"/>
      <c r="N86" s="46"/>
    </row>
    <row r="87" spans="2:14" s="3" customFormat="1" ht="15">
      <c r="B87" s="2"/>
      <c r="C87" s="2"/>
      <c r="D87" s="2"/>
      <c r="E87" s="2"/>
      <c r="F87" s="128" t="s">
        <v>86</v>
      </c>
      <c r="G87" s="129"/>
      <c r="H87" s="130">
        <v>146.3</v>
      </c>
      <c r="I87" s="101"/>
      <c r="J87" s="101"/>
      <c r="K87" s="96"/>
      <c r="L87" s="96"/>
      <c r="M87" s="127"/>
      <c r="N87" s="46"/>
    </row>
    <row r="88" spans="1:14" s="3" customFormat="1" ht="15">
      <c r="A88" s="61" t="s">
        <v>87</v>
      </c>
      <c r="B88" s="62" t="s">
        <v>88</v>
      </c>
      <c r="C88" s="62" t="s">
        <v>89</v>
      </c>
      <c r="D88" s="62" t="s">
        <v>90</v>
      </c>
      <c r="E88" s="63" t="s">
        <v>91</v>
      </c>
      <c r="F88" s="131" t="s">
        <v>92</v>
      </c>
      <c r="G88" s="132" t="s">
        <v>92</v>
      </c>
      <c r="H88" s="133" t="s">
        <v>93</v>
      </c>
      <c r="I88" s="67" t="s">
        <v>94</v>
      </c>
      <c r="J88" s="67" t="s">
        <v>95</v>
      </c>
      <c r="K88" s="67" t="s">
        <v>96</v>
      </c>
      <c r="L88" s="105" t="s">
        <v>97</v>
      </c>
      <c r="M88" s="105" t="s">
        <v>98</v>
      </c>
      <c r="N88" s="134" t="s">
        <v>0</v>
      </c>
    </row>
    <row r="89" spans="1:14" s="3" customFormat="1" ht="15.75" thickBot="1">
      <c r="A89" s="68" t="s">
        <v>99</v>
      </c>
      <c r="B89" s="81">
        <f>B73</f>
        <v>230</v>
      </c>
      <c r="C89" s="70">
        <f>B89-E89</f>
        <v>17.142407699419834</v>
      </c>
      <c r="D89" s="70">
        <f>ASIN(H89/B89)*180/PI()</f>
        <v>23.44960633193809</v>
      </c>
      <c r="E89" s="72">
        <f>SQRT(B89^2-J89)</f>
        <v>212.85759230058017</v>
      </c>
      <c r="F89" s="106">
        <f>H86</f>
        <v>63.5</v>
      </c>
      <c r="G89" s="107">
        <f>B89*SIN(RADIANS(D89))+SQRT((B89*SIN(RADIANS(D89)))^2-(B89^2-E89^2))</f>
        <v>119.55347086614191</v>
      </c>
      <c r="H89" s="108">
        <f>(H86^2+J89)/(2*H86)</f>
        <v>91.52673543307088</v>
      </c>
      <c r="I89" s="76">
        <f>2*F89*G89/(F89+G89)</f>
        <v>82.94456656931037</v>
      </c>
      <c r="J89" s="135">
        <v>7591.6454</v>
      </c>
      <c r="K89" s="19">
        <f>SQRT(J89)</f>
        <v>87.13004877767486</v>
      </c>
      <c r="L89" s="109">
        <f>J89/H87</f>
        <v>51.890946001367055</v>
      </c>
      <c r="M89" s="110">
        <f>J89/L89</f>
        <v>146.3</v>
      </c>
      <c r="N89" s="111">
        <f>J89/((F89+J89/F89)-J89/H87)</f>
        <v>57.8796832999883</v>
      </c>
    </row>
    <row r="90" spans="1:14" s="3" customFormat="1" ht="15">
      <c r="A90" s="68" t="s">
        <v>100</v>
      </c>
      <c r="B90" s="81">
        <f>B89</f>
        <v>230</v>
      </c>
      <c r="C90" s="70">
        <f>B90-E90</f>
        <v>19.29985123041203</v>
      </c>
      <c r="D90" s="70">
        <f>ASIN(H90/B90)*180/PI()</f>
        <v>24.681112807166134</v>
      </c>
      <c r="E90" s="72">
        <f>SQRT((G90*(B90^2+F90^2)-F90*(B90^2+G90^2))/(G90-F90))</f>
        <v>210.70014876958797</v>
      </c>
      <c r="F90" s="112">
        <f>2*H87*H86/((1+1/SQRT(2))*H87+(1-1/SQRT(2))*H86)</f>
        <v>69.23871030281074</v>
      </c>
      <c r="G90" s="113">
        <f>2*H87*H86/((1-1/SQRT(2))*H87+(1+1/SQRT(2))*H86)</f>
        <v>122.84237056518711</v>
      </c>
      <c r="H90" s="114">
        <f>(F90+G90)/2</f>
        <v>96.04054043399893</v>
      </c>
      <c r="I90" s="76">
        <f>2*F90*G90/(F90+G90)</f>
        <v>88.56101048617732</v>
      </c>
      <c r="J90" s="85">
        <f>I90*F90^2/(2*F90-I90)</f>
        <v>8505.447308473516</v>
      </c>
      <c r="K90" s="19">
        <f>SQRT(J90)</f>
        <v>92.22498201937215</v>
      </c>
      <c r="L90" s="109">
        <f>J90/H87</f>
        <v>58.13702876605274</v>
      </c>
      <c r="M90" s="110">
        <f>J90/L90</f>
        <v>146.3</v>
      </c>
      <c r="N90" s="115">
        <f>J90/((F90+J90/F90)-J90/H87)</f>
        <v>63.50000000000001</v>
      </c>
    </row>
    <row r="91" spans="1:14" s="3" customFormat="1" ht="15.75" thickBot="1">
      <c r="A91" s="68" t="s">
        <v>101</v>
      </c>
      <c r="B91" s="81">
        <f>B89</f>
        <v>230</v>
      </c>
      <c r="C91" s="70">
        <f>B91-E91</f>
        <v>19.798543489621466</v>
      </c>
      <c r="D91" s="70">
        <f>ASIN(H91/B91)*180/PI()</f>
        <v>24.681112807166134</v>
      </c>
      <c r="E91" s="72">
        <f>SQRT((G91*(B91^2+F91^2)-F91*(B91^2+G91^2))/(G91-F91))</f>
        <v>210.20145651037853</v>
      </c>
      <c r="F91" s="136">
        <f>H91-SQRT(H91^2-((3*H87*H86*(H91*(H87+H86)-H87*H86)))/(H87^2+H87*H86+H86^2))</f>
        <v>73.49197671168807</v>
      </c>
      <c r="G91" s="137">
        <f>H91+SQRT(H91^2-((3*H86*H87*(H91*(H86+H87)-H86*H87)))/(H86^2+H86*H87+H87^2))</f>
        <v>118.58910415630979</v>
      </c>
      <c r="H91" s="118">
        <f>H90</f>
        <v>96.04054043399893</v>
      </c>
      <c r="I91" s="76">
        <f>2*F91*G91/(F91+G91)</f>
        <v>90.74654975421383</v>
      </c>
      <c r="J91" s="90">
        <f>I91*F91^2/(2*F91-I91)</f>
        <v>8715.347680915467</v>
      </c>
      <c r="K91" s="19">
        <f>SQRT(J91)</f>
        <v>93.35602648418295</v>
      </c>
      <c r="L91" s="109">
        <f>J91/H87</f>
        <v>59.57175448335931</v>
      </c>
      <c r="M91" s="110">
        <f>J91/L91</f>
        <v>146.3</v>
      </c>
      <c r="N91" s="119">
        <f>J91/((F91+J91/F91)-J91/H87)</f>
        <v>65.77157939522826</v>
      </c>
    </row>
    <row r="92" spans="1:14" s="3" customFormat="1" ht="15">
      <c r="A92" s="138"/>
      <c r="B92" s="139"/>
      <c r="C92" s="140"/>
      <c r="D92" s="140"/>
      <c r="E92" s="140"/>
      <c r="F92" s="141"/>
      <c r="G92" s="141"/>
      <c r="H92" s="141"/>
      <c r="I92" s="76"/>
      <c r="J92" s="142"/>
      <c r="K92" s="109"/>
      <c r="L92" s="110"/>
      <c r="M92" s="79"/>
      <c r="N92" s="46"/>
    </row>
    <row r="93" spans="1:13" s="3" customFormat="1" ht="15">
      <c r="A93" s="11" t="s">
        <v>123</v>
      </c>
      <c r="J93" s="46"/>
      <c r="K93" s="46"/>
      <c r="M93" s="46"/>
    </row>
    <row r="94" spans="1:13" s="3" customFormat="1" ht="15">
      <c r="A94" s="11" t="s">
        <v>112</v>
      </c>
      <c r="J94" s="46"/>
      <c r="K94" s="46"/>
      <c r="M94" s="46"/>
    </row>
    <row r="95" spans="1:11" s="3" customFormat="1" ht="15">
      <c r="A95" s="11" t="s">
        <v>121</v>
      </c>
      <c r="J95" s="46"/>
      <c r="K95" s="46"/>
    </row>
    <row r="96" spans="1:11" s="3" customFormat="1" ht="15">
      <c r="A96" s="11" t="s">
        <v>122</v>
      </c>
      <c r="J96" s="46"/>
      <c r="K96" s="46"/>
    </row>
    <row r="97" spans="1:9" s="3" customFormat="1" ht="15">
      <c r="A97" s="3" t="s">
        <v>116</v>
      </c>
      <c r="D97" s="10"/>
      <c r="F97" s="10"/>
      <c r="G97" s="10"/>
      <c r="H97" s="10"/>
      <c r="I97" s="10"/>
    </row>
    <row r="98" spans="4:11" s="3" customFormat="1" ht="15.75" thickBot="1">
      <c r="D98" s="10"/>
      <c r="F98" s="22"/>
      <c r="G98" s="27" t="s">
        <v>115</v>
      </c>
      <c r="I98" s="27"/>
      <c r="J98" s="27"/>
      <c r="K98" s="27"/>
    </row>
    <row r="99" spans="2:8" s="3" customFormat="1" ht="15">
      <c r="B99" s="154" t="s">
        <v>117</v>
      </c>
      <c r="C99" s="144" t="s">
        <v>113</v>
      </c>
      <c r="D99" s="32" t="s">
        <v>110</v>
      </c>
      <c r="E99" s="145" t="s">
        <v>111</v>
      </c>
      <c r="F99" s="143" t="s">
        <v>109</v>
      </c>
      <c r="G99" s="167" t="s">
        <v>114</v>
      </c>
      <c r="H99" s="168"/>
    </row>
    <row r="100" spans="1:8" s="3" customFormat="1" ht="15">
      <c r="A100" s="138" t="s">
        <v>99</v>
      </c>
      <c r="B100" s="157">
        <v>79.703</v>
      </c>
      <c r="C100" s="158">
        <v>0.7735</v>
      </c>
      <c r="D100" s="159">
        <v>54.806</v>
      </c>
      <c r="E100" s="160">
        <v>0.7794</v>
      </c>
      <c r="F100" s="161">
        <v>0.783649</v>
      </c>
      <c r="G100" s="150">
        <v>54.84</v>
      </c>
      <c r="H100" s="151">
        <v>145.66</v>
      </c>
    </row>
    <row r="101" spans="1:8" s="3" customFormat="1" ht="15.75" thickBot="1">
      <c r="A101" s="138" t="s">
        <v>100</v>
      </c>
      <c r="B101" s="155">
        <v>85.383</v>
      </c>
      <c r="C101" s="148">
        <v>0.6408</v>
      </c>
      <c r="D101" s="146">
        <v>60.325</v>
      </c>
      <c r="E101" s="149">
        <v>0.6455</v>
      </c>
      <c r="F101" s="156">
        <v>0.6484</v>
      </c>
      <c r="G101" s="152">
        <v>60.357</v>
      </c>
      <c r="H101" s="153">
        <v>145.75</v>
      </c>
    </row>
    <row r="102" s="3" customFormat="1" ht="15"/>
  </sheetData>
  <mergeCells count="1">
    <mergeCell ref="G99:H99"/>
  </mergeCells>
  <printOptions/>
  <pageMargins left="0.75" right="0.75" top="1" bottom="1" header="0.512" footer="0.51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</dc:creator>
  <cp:keywords/>
  <dc:description/>
  <cp:lastModifiedBy>ｕｓｅｒ</cp:lastModifiedBy>
  <dcterms:created xsi:type="dcterms:W3CDTF">2005-10-08T12:43:38Z</dcterms:created>
  <dcterms:modified xsi:type="dcterms:W3CDTF">2009-05-17T00:12:59Z</dcterms:modified>
  <cp:category/>
  <cp:version/>
  <cp:contentType/>
  <cp:contentStatus/>
</cp:coreProperties>
</file>